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EAJUSTE\Permissionárias de Distribuição\2022\09- SETEMBRO\9  CEREJ - Érika\Estrutura\"/>
    </mc:Choice>
  </mc:AlternateContent>
  <xr:revisionPtr revIDLastSave="0" documentId="13_ncr:1_{82CF1444-B0A9-40CC-BDD1-D6D627C9ACC1}" xr6:coauthVersionLast="47" xr6:coauthVersionMax="47" xr10:uidLastSave="{00000000-0000-0000-0000-000000000000}"/>
  <bookViews>
    <workbookView xWindow="-108" yWindow="-108" windowWidth="18648" windowHeight="9984" firstSheet="24" activeTab="29" xr2:uid="{FF2B8A2B-065D-45FE-8D18-06A7694B7A4E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Aplicação'!$B$3:$AT$50</definedName>
    <definedName name="DadosExternos_1" localSheetId="28" hidden="1">'TA - BE'!$B$3:$AT$50</definedName>
    <definedName name="DadosExternos_1" localSheetId="29" hidden="1">'TA - CVA'!$B$3:$AT$50</definedName>
  </definedNames>
  <calcPr calcId="191029"/>
  <pivotCaches>
    <pivotCache cacheId="25" r:id="rId31"/>
    <pivotCache cacheId="2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I2" i="27" s="1"/>
  <c r="B2" i="27"/>
  <c r="C2" i="27"/>
  <c r="D2" i="27"/>
  <c r="E2" i="27"/>
  <c r="F2" i="27"/>
  <c r="G2" i="27"/>
  <c r="H2" i="27"/>
  <c r="J2" i="27"/>
  <c r="K2" i="27"/>
  <c r="L2" i="27"/>
  <c r="B11" i="27"/>
  <c r="P11" i="5" l="1"/>
  <c r="R11" i="5" s="1"/>
  <c r="P10" i="5"/>
  <c r="R10" i="5" s="1"/>
  <c r="P9" i="5"/>
  <c r="R9" i="5" s="1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D36" i="5" s="1"/>
  <c r="L5" i="26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Y13" i="21" s="1"/>
  <c r="R13" i="21"/>
  <c r="X13" i="21" s="1"/>
  <c r="AF13" i="21" s="1"/>
  <c r="AE12" i="21"/>
  <c r="AD12" i="21"/>
  <c r="AE8" i="21"/>
  <c r="AD8" i="21"/>
  <c r="AC8" i="21"/>
  <c r="AB8" i="21"/>
  <c r="AA8" i="21"/>
  <c r="W8" i="21"/>
  <c r="V8" i="21"/>
  <c r="U8" i="21"/>
  <c r="AI8" i="21" s="1"/>
  <c r="T8" i="21"/>
  <c r="S8" i="21"/>
  <c r="R8" i="21"/>
  <c r="AE7" i="21"/>
  <c r="AD7" i="21"/>
  <c r="AE6" i="21"/>
  <c r="AD6" i="21"/>
  <c r="AC6" i="21"/>
  <c r="AB6" i="21"/>
  <c r="AA6" i="21"/>
  <c r="W6" i="21"/>
  <c r="AJ6" i="21" s="1"/>
  <c r="V6" i="21"/>
  <c r="U6" i="21"/>
  <c r="AI6" i="21" s="1"/>
  <c r="T6" i="21"/>
  <c r="S6" i="21"/>
  <c r="Y6" i="21" s="1"/>
  <c r="AG6" i="21" s="1"/>
  <c r="R6" i="21"/>
  <c r="X6" i="21" s="1"/>
  <c r="AF6" i="21" s="1"/>
  <c r="AE5" i="21"/>
  <c r="AD5" i="21"/>
  <c r="AC5" i="21"/>
  <c r="AB5" i="21"/>
  <c r="AA5" i="21"/>
  <c r="W5" i="21"/>
  <c r="V5" i="21"/>
  <c r="U5" i="21"/>
  <c r="AI5" i="21" s="1"/>
  <c r="T5" i="21"/>
  <c r="S5" i="21"/>
  <c r="Y5" i="21" s="1"/>
  <c r="AG5" i="21" s="1"/>
  <c r="R5" i="21"/>
  <c r="AE4" i="21"/>
  <c r="AD4" i="21"/>
  <c r="AC4" i="21"/>
  <c r="AB4" i="21"/>
  <c r="AA4" i="21"/>
  <c r="W4" i="21"/>
  <c r="V4" i="21"/>
  <c r="U4" i="21"/>
  <c r="AI4" i="21" s="1"/>
  <c r="T4" i="21"/>
  <c r="S4" i="21"/>
  <c r="Y4" i="21" s="1"/>
  <c r="AG4" i="21" s="1"/>
  <c r="R4" i="21"/>
  <c r="X4" i="21" s="1"/>
  <c r="AF4" i="21" s="1"/>
  <c r="AE3" i="21"/>
  <c r="AD3" i="21"/>
  <c r="AC3" i="21"/>
  <c r="AB3" i="21"/>
  <c r="AA3" i="21"/>
  <c r="W3" i="21"/>
  <c r="V3" i="21"/>
  <c r="U3" i="21"/>
  <c r="AI3" i="21" s="1"/>
  <c r="T3" i="21"/>
  <c r="S3" i="21"/>
  <c r="R3" i="21"/>
  <c r="X3" i="21" s="1"/>
  <c r="AF3" i="21" s="1"/>
  <c r="J382" i="21"/>
  <c r="J381" i="21"/>
  <c r="M381" i="21" s="1"/>
  <c r="J380" i="21"/>
  <c r="J379" i="21"/>
  <c r="M379" i="21" s="1"/>
  <c r="J378" i="21"/>
  <c r="M378" i="21" s="1"/>
  <c r="J377" i="21"/>
  <c r="M377" i="21" s="1"/>
  <c r="J376" i="21"/>
  <c r="J375" i="21"/>
  <c r="M375" i="21" s="1"/>
  <c r="J374" i="21"/>
  <c r="M374" i="21" s="1"/>
  <c r="J373" i="21"/>
  <c r="J372" i="21"/>
  <c r="J371" i="21"/>
  <c r="J418" i="21"/>
  <c r="M418" i="21" s="1"/>
  <c r="J417" i="21"/>
  <c r="M417" i="21" s="1"/>
  <c r="J416" i="21"/>
  <c r="M416" i="21" s="1"/>
  <c r="M415" i="21"/>
  <c r="J415" i="21"/>
  <c r="J414" i="21"/>
  <c r="M414" i="21" s="1"/>
  <c r="J413" i="21"/>
  <c r="M413" i="21" s="1"/>
  <c r="J412" i="21"/>
  <c r="M412" i="21" s="1"/>
  <c r="M411" i="21"/>
  <c r="J411" i="21"/>
  <c r="J410" i="21"/>
  <c r="M410" i="21" s="1"/>
  <c r="J409" i="21"/>
  <c r="M409" i="21" s="1"/>
  <c r="J408" i="21"/>
  <c r="M408" i="21" s="1"/>
  <c r="J407" i="21"/>
  <c r="M407" i="21" s="1"/>
  <c r="J406" i="21"/>
  <c r="M406" i="21" s="1"/>
  <c r="J405" i="21"/>
  <c r="M405" i="21" s="1"/>
  <c r="J404" i="21"/>
  <c r="M404" i="21" s="1"/>
  <c r="M403" i="21"/>
  <c r="J403" i="21"/>
  <c r="J402" i="21"/>
  <c r="M402" i="21" s="1"/>
  <c r="J401" i="21"/>
  <c r="M401" i="21" s="1"/>
  <c r="J400" i="21"/>
  <c r="M400" i="21" s="1"/>
  <c r="J399" i="21"/>
  <c r="M399" i="21" s="1"/>
  <c r="J398" i="21"/>
  <c r="M398" i="21" s="1"/>
  <c r="J397" i="21"/>
  <c r="M397" i="21" s="1"/>
  <c r="J396" i="21"/>
  <c r="M396" i="21" s="1"/>
  <c r="M395" i="21"/>
  <c r="J395" i="21"/>
  <c r="J394" i="21"/>
  <c r="M394" i="21" s="1"/>
  <c r="J393" i="21"/>
  <c r="M393" i="21" s="1"/>
  <c r="J392" i="21"/>
  <c r="M392" i="21" s="1"/>
  <c r="J391" i="21"/>
  <c r="M391" i="21" s="1"/>
  <c r="M390" i="21"/>
  <c r="J390" i="21"/>
  <c r="J389" i="21"/>
  <c r="M389" i="21" s="1"/>
  <c r="J388" i="21"/>
  <c r="M388" i="21" s="1"/>
  <c r="M387" i="21"/>
  <c r="J387" i="21"/>
  <c r="J386" i="21"/>
  <c r="M386" i="21" s="1"/>
  <c r="J385" i="21"/>
  <c r="M385" i="21" s="1"/>
  <c r="M384" i="21"/>
  <c r="J384" i="21"/>
  <c r="J383" i="21"/>
  <c r="M383" i="21" s="1"/>
  <c r="M382" i="21"/>
  <c r="M380" i="21"/>
  <c r="M376" i="21"/>
  <c r="M373" i="21"/>
  <c r="M372" i="21"/>
  <c r="M371" i="21"/>
  <c r="M370" i="21"/>
  <c r="J370" i="21"/>
  <c r="M369" i="21"/>
  <c r="J369" i="21"/>
  <c r="J368" i="21"/>
  <c r="M368" i="21" s="1"/>
  <c r="J367" i="21"/>
  <c r="M367" i="21" s="1"/>
  <c r="J366" i="21"/>
  <c r="M366" i="21" s="1"/>
  <c r="J365" i="21"/>
  <c r="M365" i="21" s="1"/>
  <c r="J364" i="21"/>
  <c r="M364" i="21" s="1"/>
  <c r="J363" i="21"/>
  <c r="M363" i="21" s="1"/>
  <c r="J362" i="21"/>
  <c r="M362" i="21" s="1"/>
  <c r="J361" i="21"/>
  <c r="M361" i="21" s="1"/>
  <c r="J360" i="21"/>
  <c r="M360" i="21" s="1"/>
  <c r="J359" i="21"/>
  <c r="M359" i="21" s="1"/>
  <c r="M358" i="21"/>
  <c r="J358" i="21"/>
  <c r="J357" i="21"/>
  <c r="M357" i="21" s="1"/>
  <c r="J356" i="21"/>
  <c r="M356" i="21" s="1"/>
  <c r="J355" i="21"/>
  <c r="M355" i="21" s="1"/>
  <c r="J354" i="21"/>
  <c r="M354" i="21" s="1"/>
  <c r="J353" i="21"/>
  <c r="M353" i="21" s="1"/>
  <c r="M352" i="21"/>
  <c r="J352" i="21"/>
  <c r="J351" i="21"/>
  <c r="M351" i="21" s="1"/>
  <c r="J350" i="21"/>
  <c r="M350" i="21" s="1"/>
  <c r="M349" i="21"/>
  <c r="J349" i="21"/>
  <c r="J348" i="21"/>
  <c r="M348" i="21" s="1"/>
  <c r="J347" i="21"/>
  <c r="M347" i="21" s="1"/>
  <c r="J346" i="21"/>
  <c r="M346" i="21" s="1"/>
  <c r="J345" i="21"/>
  <c r="M345" i="21" s="1"/>
  <c r="J344" i="21"/>
  <c r="M344" i="21" s="1"/>
  <c r="J343" i="21"/>
  <c r="M343" i="21" s="1"/>
  <c r="J342" i="21"/>
  <c r="M342" i="21" s="1"/>
  <c r="J341" i="21"/>
  <c r="M341" i="21" s="1"/>
  <c r="M340" i="21"/>
  <c r="J340" i="21"/>
  <c r="J339" i="21"/>
  <c r="M339" i="21" s="1"/>
  <c r="M338" i="21"/>
  <c r="J338" i="21"/>
  <c r="J337" i="21"/>
  <c r="M337" i="21" s="1"/>
  <c r="J336" i="21"/>
  <c r="M336" i="21" s="1"/>
  <c r="J335" i="21"/>
  <c r="M335" i="21" s="1"/>
  <c r="J334" i="21"/>
  <c r="M334" i="21" s="1"/>
  <c r="J333" i="21"/>
  <c r="M333" i="21" s="1"/>
  <c r="J332" i="21"/>
  <c r="M332" i="21" s="1"/>
  <c r="J331" i="21"/>
  <c r="M331" i="21" s="1"/>
  <c r="J330" i="21"/>
  <c r="M330" i="21" s="1"/>
  <c r="M329" i="21"/>
  <c r="J329" i="21"/>
  <c r="M328" i="21"/>
  <c r="J328" i="21"/>
  <c r="J327" i="21"/>
  <c r="M327" i="21" s="1"/>
  <c r="J326" i="21"/>
  <c r="M326" i="21" s="1"/>
  <c r="M325" i="21"/>
  <c r="J325" i="21"/>
  <c r="J324" i="21"/>
  <c r="M324" i="21" s="1"/>
  <c r="J323" i="21"/>
  <c r="M323" i="21" s="1"/>
  <c r="M322" i="21"/>
  <c r="J322" i="21"/>
  <c r="J321" i="21"/>
  <c r="M321" i="21" s="1"/>
  <c r="J320" i="21"/>
  <c r="M320" i="21" s="1"/>
  <c r="J319" i="21"/>
  <c r="M319" i="21" s="1"/>
  <c r="J318" i="21"/>
  <c r="M318" i="21" s="1"/>
  <c r="J317" i="21"/>
  <c r="M317" i="21" s="1"/>
  <c r="M316" i="21"/>
  <c r="J316" i="21"/>
  <c r="J315" i="21"/>
  <c r="M315" i="21" s="1"/>
  <c r="J314" i="21"/>
  <c r="M314" i="21" s="1"/>
  <c r="J313" i="21"/>
  <c r="M313" i="21" s="1"/>
  <c r="J312" i="21"/>
  <c r="M312" i="21" s="1"/>
  <c r="J311" i="21"/>
  <c r="M311" i="21" s="1"/>
  <c r="J310" i="21"/>
  <c r="M310" i="21" s="1"/>
  <c r="J309" i="21"/>
  <c r="M309" i="21" s="1"/>
  <c r="J308" i="21"/>
  <c r="M308" i="21" s="1"/>
  <c r="J307" i="21"/>
  <c r="M307" i="21" s="1"/>
  <c r="M306" i="21"/>
  <c r="J306" i="21"/>
  <c r="J305" i="21"/>
  <c r="M305" i="21" s="1"/>
  <c r="J304" i="21"/>
  <c r="M304" i="21" s="1"/>
  <c r="M303" i="21"/>
  <c r="J303" i="21"/>
  <c r="J302" i="21"/>
  <c r="M302" i="21" s="1"/>
  <c r="J301" i="21"/>
  <c r="M301" i="21" s="1"/>
  <c r="J300" i="21"/>
  <c r="M300" i="21" s="1"/>
  <c r="J299" i="21"/>
  <c r="M299" i="21" s="1"/>
  <c r="J298" i="21"/>
  <c r="M298" i="21" s="1"/>
  <c r="J297" i="21"/>
  <c r="M297" i="21" s="1"/>
  <c r="J296" i="21"/>
  <c r="M296" i="21" s="1"/>
  <c r="J295" i="21"/>
  <c r="M295" i="21" s="1"/>
  <c r="J294" i="21"/>
  <c r="M294" i="21" s="1"/>
  <c r="J293" i="21"/>
  <c r="M293" i="21" s="1"/>
  <c r="J292" i="21"/>
  <c r="M292" i="21" s="1"/>
  <c r="J291" i="21"/>
  <c r="M291" i="21" s="1"/>
  <c r="J290" i="21"/>
  <c r="M290" i="21" s="1"/>
  <c r="J289" i="21"/>
  <c r="M289" i="21" s="1"/>
  <c r="J288" i="21"/>
  <c r="M288" i="21" s="1"/>
  <c r="J287" i="21"/>
  <c r="M287" i="21" s="1"/>
  <c r="J286" i="21"/>
  <c r="M286" i="21" s="1"/>
  <c r="M285" i="21"/>
  <c r="J285" i="21"/>
  <c r="J284" i="21"/>
  <c r="M284" i="21" s="1"/>
  <c r="J283" i="21"/>
  <c r="M283" i="21" s="1"/>
  <c r="J282" i="21"/>
  <c r="M282" i="21" s="1"/>
  <c r="M281" i="21"/>
  <c r="J281" i="21"/>
  <c r="J280" i="21"/>
  <c r="M280" i="21" s="1"/>
  <c r="J279" i="21"/>
  <c r="M279" i="21" s="1"/>
  <c r="J278" i="21"/>
  <c r="M278" i="21" s="1"/>
  <c r="J277" i="21"/>
  <c r="M277" i="21" s="1"/>
  <c r="J276" i="21"/>
  <c r="J275" i="21"/>
  <c r="M275" i="21" s="1"/>
  <c r="J274" i="21"/>
  <c r="M274" i="21" s="1"/>
  <c r="M273" i="21"/>
  <c r="J273" i="21"/>
  <c r="J272" i="21"/>
  <c r="M272" i="21" s="1"/>
  <c r="J271" i="21"/>
  <c r="M271" i="21" s="1"/>
  <c r="J270" i="21"/>
  <c r="M270" i="21" s="1"/>
  <c r="M269" i="21"/>
  <c r="J269" i="21"/>
  <c r="J268" i="21"/>
  <c r="M268" i="21" s="1"/>
  <c r="M267" i="21"/>
  <c r="J267" i="21"/>
  <c r="J266" i="21"/>
  <c r="M266" i="21" s="1"/>
  <c r="J265" i="21"/>
  <c r="M265" i="21" s="1"/>
  <c r="J264" i="21"/>
  <c r="M264" i="21" s="1"/>
  <c r="J263" i="21"/>
  <c r="M263" i="21" s="1"/>
  <c r="M262" i="21"/>
  <c r="J262" i="21"/>
  <c r="J261" i="21"/>
  <c r="M261" i="21" s="1"/>
  <c r="J260" i="21"/>
  <c r="M260" i="21" s="1"/>
  <c r="J259" i="21"/>
  <c r="M259" i="21" s="1"/>
  <c r="J258" i="21"/>
  <c r="M258" i="21" s="1"/>
  <c r="J257" i="21"/>
  <c r="M257" i="21" s="1"/>
  <c r="J256" i="21"/>
  <c r="M256" i="21" s="1"/>
  <c r="J255" i="21"/>
  <c r="M255" i="21" s="1"/>
  <c r="M254" i="21"/>
  <c r="J254" i="21"/>
  <c r="J253" i="21"/>
  <c r="M253" i="21" s="1"/>
  <c r="J252" i="21"/>
  <c r="M252" i="21" s="1"/>
  <c r="J251" i="21"/>
  <c r="M251" i="21" s="1"/>
  <c r="M250" i="21"/>
  <c r="J250" i="21"/>
  <c r="J249" i="21"/>
  <c r="M249" i="21" s="1"/>
  <c r="J248" i="21"/>
  <c r="M248" i="21" s="1"/>
  <c r="J247" i="21"/>
  <c r="M247" i="21" s="1"/>
  <c r="J246" i="21"/>
  <c r="M246" i="21" s="1"/>
  <c r="J245" i="21"/>
  <c r="M245" i="21" s="1"/>
  <c r="J244" i="21"/>
  <c r="M244" i="21" s="1"/>
  <c r="J243" i="21"/>
  <c r="M243" i="21" s="1"/>
  <c r="J242" i="21"/>
  <c r="M242" i="21" s="1"/>
  <c r="J241" i="21"/>
  <c r="M241" i="21" s="1"/>
  <c r="J240" i="21"/>
  <c r="M240" i="21" s="1"/>
  <c r="J239" i="21"/>
  <c r="M239" i="21" s="1"/>
  <c r="J238" i="21"/>
  <c r="M238" i="21" s="1"/>
  <c r="J237" i="21"/>
  <c r="M237" i="21" s="1"/>
  <c r="J236" i="21"/>
  <c r="M236" i="21" s="1"/>
  <c r="J235" i="21"/>
  <c r="M235" i="21" s="1"/>
  <c r="J234" i="21"/>
  <c r="M234" i="21" s="1"/>
  <c r="J233" i="21"/>
  <c r="M233" i="21" s="1"/>
  <c r="J232" i="21"/>
  <c r="M232" i="21" s="1"/>
  <c r="J231" i="21"/>
  <c r="M231" i="21" s="1"/>
  <c r="J230" i="21"/>
  <c r="M230" i="21" s="1"/>
  <c r="J229" i="21"/>
  <c r="M229" i="21" s="1"/>
  <c r="J228" i="21"/>
  <c r="M228" i="21" s="1"/>
  <c r="J227" i="21"/>
  <c r="M227" i="21" s="1"/>
  <c r="J226" i="21"/>
  <c r="M226" i="21" s="1"/>
  <c r="J225" i="21"/>
  <c r="M225" i="21" s="1"/>
  <c r="J224" i="21"/>
  <c r="M224" i="21" s="1"/>
  <c r="J223" i="21"/>
  <c r="M223" i="21" s="1"/>
  <c r="J222" i="21"/>
  <c r="M222" i="21" s="1"/>
  <c r="J221" i="21"/>
  <c r="M221" i="21" s="1"/>
  <c r="J220" i="21"/>
  <c r="M220" i="21" s="1"/>
  <c r="J219" i="21"/>
  <c r="M219" i="21" s="1"/>
  <c r="J218" i="21"/>
  <c r="M218" i="21" s="1"/>
  <c r="J217" i="21"/>
  <c r="M217" i="21" s="1"/>
  <c r="J216" i="21"/>
  <c r="M216" i="21" s="1"/>
  <c r="J215" i="21"/>
  <c r="M215" i="21" s="1"/>
  <c r="J214" i="21"/>
  <c r="M214" i="21" s="1"/>
  <c r="J213" i="21"/>
  <c r="M213" i="21" s="1"/>
  <c r="J212" i="21"/>
  <c r="M212" i="21" s="1"/>
  <c r="J211" i="21"/>
  <c r="M211" i="21" s="1"/>
  <c r="J210" i="21"/>
  <c r="M210" i="21" s="1"/>
  <c r="J209" i="21"/>
  <c r="M209" i="21" s="1"/>
  <c r="J208" i="21"/>
  <c r="M208" i="21" s="1"/>
  <c r="J207" i="21"/>
  <c r="M207" i="21" s="1"/>
  <c r="J206" i="21"/>
  <c r="M206" i="21" s="1"/>
  <c r="J205" i="21"/>
  <c r="M205" i="21" s="1"/>
  <c r="J204" i="21"/>
  <c r="M204" i="21" s="1"/>
  <c r="J203" i="21"/>
  <c r="M203" i="21" s="1"/>
  <c r="J202" i="21"/>
  <c r="M202" i="21" s="1"/>
  <c r="J201" i="21"/>
  <c r="M201" i="21" s="1"/>
  <c r="J200" i="21"/>
  <c r="M200" i="21" s="1"/>
  <c r="M199" i="21"/>
  <c r="J199" i="21"/>
  <c r="J198" i="21"/>
  <c r="M198" i="21" s="1"/>
  <c r="M197" i="21"/>
  <c r="J197" i="21"/>
  <c r="J196" i="21"/>
  <c r="M196" i="21" s="1"/>
  <c r="J195" i="21"/>
  <c r="M195" i="21" s="1"/>
  <c r="J194" i="21"/>
  <c r="M194" i="21" s="1"/>
  <c r="M193" i="21"/>
  <c r="J193" i="21"/>
  <c r="J192" i="21"/>
  <c r="M192" i="21" s="1"/>
  <c r="M191" i="21"/>
  <c r="J191" i="21"/>
  <c r="J190" i="21"/>
  <c r="M190" i="21" s="1"/>
  <c r="J189" i="21"/>
  <c r="M189" i="21" s="1"/>
  <c r="J188" i="21"/>
  <c r="M188" i="21" s="1"/>
  <c r="J187" i="21"/>
  <c r="M187" i="21" s="1"/>
  <c r="J186" i="21"/>
  <c r="M186" i="21" s="1"/>
  <c r="J185" i="21"/>
  <c r="M185" i="21" s="1"/>
  <c r="J184" i="21"/>
  <c r="M184" i="21" s="1"/>
  <c r="M183" i="21"/>
  <c r="J183" i="21"/>
  <c r="J182" i="21"/>
  <c r="M182" i="21" s="1"/>
  <c r="M181" i="21"/>
  <c r="J181" i="21"/>
  <c r="J180" i="21"/>
  <c r="M180" i="21" s="1"/>
  <c r="J179" i="21"/>
  <c r="M179" i="21" s="1"/>
  <c r="J178" i="21"/>
  <c r="M178" i="21" s="1"/>
  <c r="M177" i="21"/>
  <c r="J177" i="21"/>
  <c r="J176" i="21"/>
  <c r="M176" i="21" s="1"/>
  <c r="M175" i="21"/>
  <c r="J175" i="21"/>
  <c r="J174" i="21"/>
  <c r="M174" i="21" s="1"/>
  <c r="J173" i="21"/>
  <c r="M173" i="21" s="1"/>
  <c r="J172" i="21"/>
  <c r="M172" i="21" s="1"/>
  <c r="J171" i="21"/>
  <c r="M171" i="21" s="1"/>
  <c r="J170" i="21"/>
  <c r="M170" i="21" s="1"/>
  <c r="M169" i="21"/>
  <c r="J169" i="21"/>
  <c r="J168" i="21"/>
  <c r="M168" i="21" s="1"/>
  <c r="J167" i="21"/>
  <c r="M167" i="21" s="1"/>
  <c r="J166" i="21"/>
  <c r="M166" i="21" s="1"/>
  <c r="J165" i="21"/>
  <c r="M165" i="21" s="1"/>
  <c r="J164" i="21"/>
  <c r="M164" i="21" s="1"/>
  <c r="M163" i="21"/>
  <c r="J163" i="21"/>
  <c r="J162" i="21"/>
  <c r="M162" i="21" s="1"/>
  <c r="J161" i="21"/>
  <c r="M161" i="21" s="1"/>
  <c r="J160" i="21"/>
  <c r="M160" i="21" s="1"/>
  <c r="J159" i="21"/>
  <c r="M159" i="21" s="1"/>
  <c r="J158" i="21"/>
  <c r="M158" i="21" s="1"/>
  <c r="J157" i="21"/>
  <c r="M157" i="21" s="1"/>
  <c r="M156" i="21"/>
  <c r="J156" i="21"/>
  <c r="J155" i="21"/>
  <c r="M155" i="21" s="1"/>
  <c r="M154" i="21"/>
  <c r="J154" i="21"/>
  <c r="J153" i="21"/>
  <c r="M153" i="21" s="1"/>
  <c r="M152" i="21"/>
  <c r="J152" i="21"/>
  <c r="J151" i="21"/>
  <c r="M151" i="21" s="1"/>
  <c r="M150" i="21"/>
  <c r="J150" i="21"/>
  <c r="J149" i="21"/>
  <c r="M149" i="21" s="1"/>
  <c r="M148" i="21"/>
  <c r="J148" i="21"/>
  <c r="J147" i="21"/>
  <c r="M147" i="21" s="1"/>
  <c r="M146" i="21"/>
  <c r="J146" i="21"/>
  <c r="J145" i="21"/>
  <c r="M145" i="21" s="1"/>
  <c r="M144" i="21"/>
  <c r="J144" i="21"/>
  <c r="J143" i="21"/>
  <c r="M143" i="21" s="1"/>
  <c r="M142" i="21"/>
  <c r="J142" i="21"/>
  <c r="J141" i="21"/>
  <c r="M141" i="21" s="1"/>
  <c r="M140" i="21"/>
  <c r="J140" i="21"/>
  <c r="J139" i="21"/>
  <c r="M139" i="21" s="1"/>
  <c r="M138" i="21"/>
  <c r="J138" i="21"/>
  <c r="J137" i="21"/>
  <c r="M137" i="21" s="1"/>
  <c r="M136" i="21"/>
  <c r="J136" i="21"/>
  <c r="J135" i="21"/>
  <c r="M135" i="21" s="1"/>
  <c r="M134" i="21"/>
  <c r="J134" i="21"/>
  <c r="J133" i="21"/>
  <c r="M133" i="21" s="1"/>
  <c r="M132" i="21"/>
  <c r="J132" i="21"/>
  <c r="J131" i="21"/>
  <c r="M131" i="21" s="1"/>
  <c r="M130" i="21"/>
  <c r="J130" i="21"/>
  <c r="J129" i="21"/>
  <c r="M129" i="21" s="1"/>
  <c r="M128" i="21"/>
  <c r="J128" i="21"/>
  <c r="J127" i="21"/>
  <c r="M127" i="21" s="1"/>
  <c r="M126" i="21"/>
  <c r="J126" i="21"/>
  <c r="J125" i="21"/>
  <c r="M125" i="21" s="1"/>
  <c r="M124" i="21"/>
  <c r="J124" i="21"/>
  <c r="J123" i="21"/>
  <c r="M123" i="21" s="1"/>
  <c r="M122" i="21"/>
  <c r="J122" i="21"/>
  <c r="J121" i="21"/>
  <c r="M121" i="21" s="1"/>
  <c r="M120" i="21"/>
  <c r="J120" i="21"/>
  <c r="J119" i="21"/>
  <c r="M119" i="21" s="1"/>
  <c r="M118" i="21"/>
  <c r="J118" i="21"/>
  <c r="J117" i="21"/>
  <c r="M117" i="21" s="1"/>
  <c r="M116" i="21"/>
  <c r="J116" i="21"/>
  <c r="J115" i="21"/>
  <c r="M115" i="21" s="1"/>
  <c r="M114" i="21"/>
  <c r="J114" i="21"/>
  <c r="J113" i="21"/>
  <c r="M113" i="21" s="1"/>
  <c r="M112" i="21"/>
  <c r="J112" i="21"/>
  <c r="J111" i="21"/>
  <c r="M111" i="21" s="1"/>
  <c r="M110" i="21"/>
  <c r="J110" i="21"/>
  <c r="J109" i="21"/>
  <c r="M109" i="21" s="1"/>
  <c r="M108" i="21"/>
  <c r="J108" i="21"/>
  <c r="J107" i="21"/>
  <c r="M107" i="21" s="1"/>
  <c r="M106" i="21"/>
  <c r="J106" i="21"/>
  <c r="J105" i="21"/>
  <c r="M105" i="21" s="1"/>
  <c r="M104" i="21"/>
  <c r="J104" i="21"/>
  <c r="J103" i="21"/>
  <c r="M103" i="21" s="1"/>
  <c r="M102" i="21"/>
  <c r="J102" i="21"/>
  <c r="J101" i="21"/>
  <c r="M101" i="21" s="1"/>
  <c r="M100" i="21"/>
  <c r="J100" i="21"/>
  <c r="J99" i="21"/>
  <c r="M99" i="21" s="1"/>
  <c r="M98" i="21"/>
  <c r="J98" i="21"/>
  <c r="J97" i="21"/>
  <c r="M97" i="21" s="1"/>
  <c r="M96" i="21"/>
  <c r="J96" i="21"/>
  <c r="J95" i="21"/>
  <c r="M95" i="21" s="1"/>
  <c r="M94" i="21"/>
  <c r="J94" i="21"/>
  <c r="J93" i="21"/>
  <c r="M93" i="21" s="1"/>
  <c r="M92" i="21"/>
  <c r="J92" i="21"/>
  <c r="J91" i="21"/>
  <c r="M91" i="21" s="1"/>
  <c r="M90" i="21"/>
  <c r="J90" i="21"/>
  <c r="J89" i="21"/>
  <c r="M89" i="21" s="1"/>
  <c r="O88" i="21"/>
  <c r="L88" i="21"/>
  <c r="K88" i="21"/>
  <c r="N88" i="21" s="1"/>
  <c r="L87" i="21"/>
  <c r="O87" i="21" s="1"/>
  <c r="K87" i="21"/>
  <c r="N87" i="21" s="1"/>
  <c r="L86" i="21"/>
  <c r="O86" i="21" s="1"/>
  <c r="K86" i="21"/>
  <c r="N86" i="21" s="1"/>
  <c r="O85" i="21"/>
  <c r="L85" i="21"/>
  <c r="K85" i="21"/>
  <c r="N85" i="21" s="1"/>
  <c r="O84" i="21"/>
  <c r="L84" i="21"/>
  <c r="K84" i="21"/>
  <c r="N84" i="21" s="1"/>
  <c r="O83" i="21"/>
  <c r="N83" i="21"/>
  <c r="L83" i="21"/>
  <c r="K83" i="21"/>
  <c r="L82" i="21"/>
  <c r="O82" i="21" s="1"/>
  <c r="K82" i="21"/>
  <c r="N82" i="21" s="1"/>
  <c r="O81" i="21"/>
  <c r="L81" i="21"/>
  <c r="K81" i="21"/>
  <c r="N81" i="21" s="1"/>
  <c r="O80" i="21"/>
  <c r="L80" i="21"/>
  <c r="K80" i="21"/>
  <c r="N80" i="21" s="1"/>
  <c r="O79" i="21"/>
  <c r="N79" i="21"/>
  <c r="L79" i="21"/>
  <c r="K79" i="21"/>
  <c r="O78" i="21"/>
  <c r="L78" i="21"/>
  <c r="K78" i="21"/>
  <c r="N78" i="21" s="1"/>
  <c r="L77" i="21"/>
  <c r="O77" i="21" s="1"/>
  <c r="K77" i="21"/>
  <c r="N77" i="21" s="1"/>
  <c r="M76" i="21"/>
  <c r="J76" i="21"/>
  <c r="M75" i="21"/>
  <c r="J75" i="21"/>
  <c r="M74" i="21"/>
  <c r="J74" i="21"/>
  <c r="J73" i="21"/>
  <c r="M73" i="21" s="1"/>
  <c r="M72" i="21"/>
  <c r="J72" i="21"/>
  <c r="J71" i="21"/>
  <c r="M71" i="21" s="1"/>
  <c r="M70" i="21"/>
  <c r="J70" i="21"/>
  <c r="J69" i="21"/>
  <c r="M69" i="21" s="1"/>
  <c r="J68" i="21"/>
  <c r="M68" i="21" s="1"/>
  <c r="M67" i="21"/>
  <c r="J67" i="21"/>
  <c r="M66" i="21"/>
  <c r="J66" i="21"/>
  <c r="J65" i="21"/>
  <c r="M65" i="21" s="1"/>
  <c r="J64" i="21"/>
  <c r="M64" i="21" s="1"/>
  <c r="M63" i="21"/>
  <c r="J63" i="21"/>
  <c r="J62" i="21"/>
  <c r="M62" i="21" s="1"/>
  <c r="J61" i="21"/>
  <c r="M61" i="21" s="1"/>
  <c r="M60" i="21"/>
  <c r="J60" i="21"/>
  <c r="J59" i="21"/>
  <c r="M59" i="21" s="1"/>
  <c r="M58" i="21"/>
  <c r="J58" i="21"/>
  <c r="M57" i="21"/>
  <c r="J57" i="21"/>
  <c r="M56" i="21"/>
  <c r="J56" i="21"/>
  <c r="J55" i="21"/>
  <c r="M55" i="21" s="1"/>
  <c r="M54" i="21"/>
  <c r="J54" i="21"/>
  <c r="J53" i="21"/>
  <c r="M53" i="21" s="1"/>
  <c r="M52" i="21"/>
  <c r="J52" i="21"/>
  <c r="L51" i="21"/>
  <c r="O51" i="21" s="1"/>
  <c r="K51" i="21"/>
  <c r="N51" i="21" s="1"/>
  <c r="L50" i="21"/>
  <c r="O50" i="21" s="1"/>
  <c r="K50" i="21"/>
  <c r="N50" i="21" s="1"/>
  <c r="O49" i="21"/>
  <c r="L49" i="21"/>
  <c r="K49" i="21"/>
  <c r="N49" i="21" s="1"/>
  <c r="L48" i="21"/>
  <c r="O48" i="21" s="1"/>
  <c r="K48" i="21"/>
  <c r="N48" i="21" s="1"/>
  <c r="O47" i="21"/>
  <c r="L47" i="21"/>
  <c r="K47" i="21"/>
  <c r="N47" i="21" s="1"/>
  <c r="O46" i="21"/>
  <c r="L46" i="21"/>
  <c r="K46" i="21"/>
  <c r="N46" i="21" s="1"/>
  <c r="L45" i="21"/>
  <c r="O45" i="21" s="1"/>
  <c r="K45" i="21"/>
  <c r="N45" i="21" s="1"/>
  <c r="L44" i="21"/>
  <c r="O44" i="21" s="1"/>
  <c r="K44" i="21"/>
  <c r="N44" i="21" s="1"/>
  <c r="O43" i="21"/>
  <c r="L43" i="21"/>
  <c r="K43" i="21"/>
  <c r="N43" i="21" s="1"/>
  <c r="L42" i="21"/>
  <c r="O42" i="21" s="1"/>
  <c r="K42" i="21"/>
  <c r="N42" i="21" s="1"/>
  <c r="L41" i="21"/>
  <c r="O41" i="21" s="1"/>
  <c r="K41" i="21"/>
  <c r="N41" i="21" s="1"/>
  <c r="O40" i="21"/>
  <c r="L40" i="21"/>
  <c r="K40" i="21"/>
  <c r="N40" i="21" s="1"/>
  <c r="O39" i="21"/>
  <c r="L39" i="21"/>
  <c r="K39" i="21"/>
  <c r="N39" i="21" s="1"/>
  <c r="M38" i="21"/>
  <c r="J38" i="21"/>
  <c r="J37" i="21"/>
  <c r="M37" i="21" s="1"/>
  <c r="J36" i="21"/>
  <c r="M36" i="21" s="1"/>
  <c r="M35" i="21"/>
  <c r="J35" i="21"/>
  <c r="J34" i="21"/>
  <c r="M34" i="21" s="1"/>
  <c r="M33" i="21"/>
  <c r="J33" i="21"/>
  <c r="J32" i="21"/>
  <c r="M32" i="21" s="1"/>
  <c r="J31" i="21"/>
  <c r="M31" i="21" s="1"/>
  <c r="M30" i="21"/>
  <c r="J30" i="21"/>
  <c r="M29" i="21"/>
  <c r="J29" i="21"/>
  <c r="M28" i="21"/>
  <c r="J28" i="21"/>
  <c r="J27" i="21"/>
  <c r="M27" i="21" s="1"/>
  <c r="M26" i="21"/>
  <c r="J26" i="21"/>
  <c r="X382" i="16"/>
  <c r="W382" i="16"/>
  <c r="X381" i="16"/>
  <c r="W381" i="16"/>
  <c r="X380" i="16"/>
  <c r="W380" i="16"/>
  <c r="X379" i="16"/>
  <c r="W379" i="16"/>
  <c r="X378" i="16"/>
  <c r="W378" i="16"/>
  <c r="X377" i="16"/>
  <c r="W377" i="16"/>
  <c r="X376" i="16"/>
  <c r="W376" i="16"/>
  <c r="X375" i="16"/>
  <c r="W375" i="16"/>
  <c r="X374" i="16"/>
  <c r="W374" i="16"/>
  <c r="X373" i="16"/>
  <c r="W373" i="16"/>
  <c r="X372" i="16"/>
  <c r="W372" i="16"/>
  <c r="X371" i="16"/>
  <c r="W371" i="16"/>
  <c r="AD116" i="17"/>
  <c r="X116" i="17"/>
  <c r="W116" i="17"/>
  <c r="AC116" i="17" s="1"/>
  <c r="AD115" i="17"/>
  <c r="X115" i="17"/>
  <c r="W115" i="17"/>
  <c r="AD114" i="17"/>
  <c r="X114" i="17"/>
  <c r="W114" i="17"/>
  <c r="AC114" i="17" s="1"/>
  <c r="AD113" i="17"/>
  <c r="X113" i="17"/>
  <c r="W113" i="17"/>
  <c r="AD112" i="17"/>
  <c r="X112" i="17"/>
  <c r="W112" i="17"/>
  <c r="AC112" i="17" s="1"/>
  <c r="AD111" i="17"/>
  <c r="X111" i="17"/>
  <c r="W111" i="17"/>
  <c r="AD110" i="17"/>
  <c r="X110" i="17"/>
  <c r="W110" i="17"/>
  <c r="AC110" i="17" s="1"/>
  <c r="AD109" i="17"/>
  <c r="X109" i="17"/>
  <c r="W109" i="17"/>
  <c r="AC109" i="17" s="1"/>
  <c r="AD108" i="17"/>
  <c r="X108" i="17"/>
  <c r="W108" i="17"/>
  <c r="AC108" i="17" s="1"/>
  <c r="AD107" i="17"/>
  <c r="X107" i="17"/>
  <c r="W107" i="17"/>
  <c r="AC107" i="17" s="1"/>
  <c r="AD106" i="17"/>
  <c r="X106" i="17"/>
  <c r="W106" i="17"/>
  <c r="AC106" i="17" s="1"/>
  <c r="AD105" i="17"/>
  <c r="AD11" i="21" s="1"/>
  <c r="X105" i="17"/>
  <c r="W105" i="17"/>
  <c r="AC105" i="17" s="1"/>
  <c r="M40" i="5"/>
  <c r="M39" i="5"/>
  <c r="M38" i="5"/>
  <c r="AJ9" i="17"/>
  <c r="AI9" i="17"/>
  <c r="AJ7" i="17"/>
  <c r="AI7" i="17"/>
  <c r="AJ4" i="17"/>
  <c r="AI4" i="17"/>
  <c r="AJ3" i="17"/>
  <c r="AI3" i="17"/>
  <c r="AJ2" i="17"/>
  <c r="AI2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10" i="21" s="1"/>
  <c r="AD65" i="17"/>
  <c r="AD64" i="17"/>
  <c r="AD63" i="17"/>
  <c r="AD62" i="17"/>
  <c r="AD61" i="17"/>
  <c r="AD60" i="17"/>
  <c r="AD59" i="17"/>
  <c r="AD58" i="17"/>
  <c r="AD57" i="17"/>
  <c r="AD56" i="17"/>
  <c r="AD55" i="17"/>
  <c r="AD54" i="17"/>
  <c r="AD53" i="17"/>
  <c r="AD52" i="17"/>
  <c r="AD51" i="17"/>
  <c r="AD50" i="17"/>
  <c r="AD49" i="17"/>
  <c r="AD48" i="17"/>
  <c r="AD47" i="17"/>
  <c r="AD46" i="17"/>
  <c r="AD45" i="17"/>
  <c r="AD44" i="17"/>
  <c r="AD43" i="17"/>
  <c r="AD42" i="17"/>
  <c r="AD41" i="17"/>
  <c r="AD40" i="17"/>
  <c r="AD39" i="17"/>
  <c r="AD38" i="17"/>
  <c r="AD37" i="17"/>
  <c r="AD36" i="17"/>
  <c r="AD35" i="17"/>
  <c r="AD34" i="17"/>
  <c r="AD33" i="17"/>
  <c r="AD32" i="17"/>
  <c r="AD31" i="17"/>
  <c r="AD30" i="17"/>
  <c r="AD29" i="17"/>
  <c r="AD28" i="17"/>
  <c r="AD27" i="17"/>
  <c r="AD26" i="17"/>
  <c r="AD25" i="17"/>
  <c r="AD24" i="17"/>
  <c r="AD23" i="17"/>
  <c r="AD22" i="17"/>
  <c r="AD21" i="17"/>
  <c r="AD20" i="17"/>
  <c r="AD19" i="17"/>
  <c r="AD18" i="17"/>
  <c r="AD17" i="17"/>
  <c r="AD16" i="17"/>
  <c r="AD15" i="17"/>
  <c r="AD14" i="17"/>
  <c r="AD13" i="17"/>
  <c r="AD12" i="17"/>
  <c r="AD11" i="17"/>
  <c r="AD10" i="17"/>
  <c r="AD9" i="17"/>
  <c r="AD8" i="17"/>
  <c r="AD7" i="17"/>
  <c r="AD6" i="17"/>
  <c r="AD5" i="17"/>
  <c r="AD4" i="17"/>
  <c r="AD3" i="17"/>
  <c r="AD2" i="17"/>
  <c r="AD9" i="21" s="1"/>
  <c r="V116" i="17"/>
  <c r="AB116" i="17" s="1"/>
  <c r="V115" i="17"/>
  <c r="AB115" i="17" s="1"/>
  <c r="V114" i="17"/>
  <c r="AB114" i="17" s="1"/>
  <c r="V113" i="17"/>
  <c r="AB113" i="17" s="1"/>
  <c r="V112" i="17"/>
  <c r="AB112" i="17" s="1"/>
  <c r="V111" i="17"/>
  <c r="AB111" i="17" s="1"/>
  <c r="V110" i="17"/>
  <c r="AB110" i="17" s="1"/>
  <c r="V109" i="17"/>
  <c r="AB109" i="17" s="1"/>
  <c r="V108" i="17"/>
  <c r="AB108" i="17" s="1"/>
  <c r="V107" i="17"/>
  <c r="AB107" i="17" s="1"/>
  <c r="V106" i="17"/>
  <c r="AB106" i="17" s="1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X73" i="17"/>
  <c r="W73" i="17"/>
  <c r="V73" i="17"/>
  <c r="AB73" i="17" s="1"/>
  <c r="X72" i="17"/>
  <c r="W72" i="17"/>
  <c r="V72" i="17"/>
  <c r="AB72" i="17" s="1"/>
  <c r="X71" i="17"/>
  <c r="W71" i="17"/>
  <c r="V71" i="17"/>
  <c r="AB71" i="17" s="1"/>
  <c r="X70" i="17"/>
  <c r="W70" i="17"/>
  <c r="V70" i="17"/>
  <c r="AB70" i="17" s="1"/>
  <c r="X69" i="17"/>
  <c r="W69" i="17"/>
  <c r="V69" i="17"/>
  <c r="AB69" i="17" s="1"/>
  <c r="X68" i="17"/>
  <c r="W68" i="17"/>
  <c r="V68" i="17"/>
  <c r="AB68" i="17" s="1"/>
  <c r="X67" i="17"/>
  <c r="W67" i="17"/>
  <c r="V67" i="17"/>
  <c r="AB67" i="17" s="1"/>
  <c r="X66" i="17"/>
  <c r="W66" i="17"/>
  <c r="V66" i="17"/>
  <c r="AB66" i="17" s="1"/>
  <c r="X65" i="17"/>
  <c r="W65" i="17"/>
  <c r="V65" i="17"/>
  <c r="AB65" i="17" s="1"/>
  <c r="X64" i="17"/>
  <c r="W64" i="17"/>
  <c r="V64" i="17"/>
  <c r="AB64" i="17" s="1"/>
  <c r="X63" i="17"/>
  <c r="W63" i="17"/>
  <c r="V63" i="17"/>
  <c r="AB63" i="17" s="1"/>
  <c r="X62" i="17"/>
  <c r="W62" i="17"/>
  <c r="AC62" i="17" s="1"/>
  <c r="V62" i="17"/>
  <c r="AB62" i="17" s="1"/>
  <c r="X61" i="17"/>
  <c r="W61" i="17"/>
  <c r="V61" i="17"/>
  <c r="AB61" i="17" s="1"/>
  <c r="X60" i="17"/>
  <c r="W60" i="17"/>
  <c r="V60" i="17"/>
  <c r="AB60" i="17" s="1"/>
  <c r="X59" i="17"/>
  <c r="W59" i="17"/>
  <c r="V59" i="17"/>
  <c r="AB59" i="17" s="1"/>
  <c r="X58" i="17"/>
  <c r="W58" i="17"/>
  <c r="AC58" i="17" s="1"/>
  <c r="V58" i="17"/>
  <c r="AB58" i="17" s="1"/>
  <c r="X57" i="17"/>
  <c r="W57" i="17"/>
  <c r="V57" i="17"/>
  <c r="AB57" i="17" s="1"/>
  <c r="X56" i="17"/>
  <c r="W56" i="17"/>
  <c r="V56" i="17"/>
  <c r="AB56" i="17" s="1"/>
  <c r="X55" i="17"/>
  <c r="W55" i="17"/>
  <c r="V55" i="17"/>
  <c r="AB55" i="17" s="1"/>
  <c r="X54" i="17"/>
  <c r="W54" i="17"/>
  <c r="AC54" i="17" s="1"/>
  <c r="V54" i="17"/>
  <c r="AB54" i="17" s="1"/>
  <c r="X53" i="17"/>
  <c r="W53" i="17"/>
  <c r="AC53" i="17" s="1"/>
  <c r="V53" i="17"/>
  <c r="AB53" i="17" s="1"/>
  <c r="X52" i="17"/>
  <c r="W52" i="17"/>
  <c r="V52" i="17"/>
  <c r="AB52" i="17" s="1"/>
  <c r="X51" i="17"/>
  <c r="W51" i="17"/>
  <c r="V51" i="17"/>
  <c r="AB51" i="17" s="1"/>
  <c r="X50" i="17"/>
  <c r="W50" i="17"/>
  <c r="AC50" i="17" s="1"/>
  <c r="V50" i="17"/>
  <c r="AB50" i="17" s="1"/>
  <c r="X49" i="17"/>
  <c r="W49" i="17"/>
  <c r="V49" i="17"/>
  <c r="AB49" i="17" s="1"/>
  <c r="X48" i="17"/>
  <c r="W48" i="17"/>
  <c r="V48" i="17"/>
  <c r="AB48" i="17" s="1"/>
  <c r="X47" i="17"/>
  <c r="W47" i="17"/>
  <c r="V47" i="17"/>
  <c r="AB47" i="17" s="1"/>
  <c r="X46" i="17"/>
  <c r="W46" i="17"/>
  <c r="AC46" i="17" s="1"/>
  <c r="V46" i="17"/>
  <c r="AB46" i="17" s="1"/>
  <c r="X45" i="17"/>
  <c r="W45" i="17"/>
  <c r="AC45" i="17" s="1"/>
  <c r="V45" i="17"/>
  <c r="AB45" i="17" s="1"/>
  <c r="X44" i="17"/>
  <c r="W44" i="17"/>
  <c r="V44" i="17"/>
  <c r="AB44" i="17" s="1"/>
  <c r="X43" i="17"/>
  <c r="W43" i="17"/>
  <c r="AC43" i="17" s="1"/>
  <c r="V43" i="17"/>
  <c r="AB43" i="17" s="1"/>
  <c r="X42" i="17"/>
  <c r="W42" i="17"/>
  <c r="AC42" i="17" s="1"/>
  <c r="V42" i="17"/>
  <c r="AB42" i="17" s="1"/>
  <c r="X41" i="17"/>
  <c r="W41" i="17"/>
  <c r="V41" i="17"/>
  <c r="AB41" i="17" s="1"/>
  <c r="X40" i="17"/>
  <c r="W40" i="17"/>
  <c r="V40" i="17"/>
  <c r="AB40" i="17" s="1"/>
  <c r="X39" i="17"/>
  <c r="W39" i="17"/>
  <c r="V39" i="17"/>
  <c r="AB39" i="17" s="1"/>
  <c r="X38" i="17"/>
  <c r="W38" i="17"/>
  <c r="AC38" i="17" s="1"/>
  <c r="V38" i="17"/>
  <c r="AB38" i="17" s="1"/>
  <c r="X37" i="17"/>
  <c r="W37" i="17"/>
  <c r="AC37" i="17" s="1"/>
  <c r="V37" i="17"/>
  <c r="AB37" i="17" s="1"/>
  <c r="X36" i="17"/>
  <c r="W36" i="17"/>
  <c r="V36" i="17"/>
  <c r="AB36" i="17" s="1"/>
  <c r="X35" i="17"/>
  <c r="W35" i="17"/>
  <c r="AC35" i="17" s="1"/>
  <c r="V35" i="17"/>
  <c r="AB35" i="17" s="1"/>
  <c r="X34" i="17"/>
  <c r="W34" i="17"/>
  <c r="AC34" i="17" s="1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AC30" i="17" s="1"/>
  <c r="V30" i="17"/>
  <c r="AB30" i="17" s="1"/>
  <c r="X29" i="17"/>
  <c r="W29" i="17"/>
  <c r="AC29" i="17" s="1"/>
  <c r="V29" i="17"/>
  <c r="AB29" i="17" s="1"/>
  <c r="X28" i="17"/>
  <c r="W28" i="17"/>
  <c r="V28" i="17"/>
  <c r="AB28" i="17" s="1"/>
  <c r="X27" i="17"/>
  <c r="W27" i="17"/>
  <c r="AC27" i="17" s="1"/>
  <c r="V27" i="17"/>
  <c r="AB27" i="17" s="1"/>
  <c r="X26" i="17"/>
  <c r="W26" i="17"/>
  <c r="AC26" i="17" s="1"/>
  <c r="V26" i="17"/>
  <c r="AB26" i="17" s="1"/>
  <c r="X25" i="17"/>
  <c r="W25" i="17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AC22" i="17" s="1"/>
  <c r="V22" i="17"/>
  <c r="AB22" i="17" s="1"/>
  <c r="X21" i="17"/>
  <c r="W21" i="17"/>
  <c r="AC21" i="17" s="1"/>
  <c r="V21" i="17"/>
  <c r="AB21" i="17" s="1"/>
  <c r="X20" i="17"/>
  <c r="W20" i="17"/>
  <c r="V20" i="17"/>
  <c r="AB20" i="17" s="1"/>
  <c r="X19" i="17"/>
  <c r="W19" i="17"/>
  <c r="AC19" i="17" s="1"/>
  <c r="V19" i="17"/>
  <c r="AB19" i="17" s="1"/>
  <c r="X18" i="17"/>
  <c r="W18" i="17"/>
  <c r="AC18" i="17" s="1"/>
  <c r="V18" i="17"/>
  <c r="AB18" i="17" s="1"/>
  <c r="X17" i="17"/>
  <c r="W17" i="17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AC14" i="17" s="1"/>
  <c r="V14" i="17"/>
  <c r="AB14" i="17" s="1"/>
  <c r="X13" i="17"/>
  <c r="W13" i="17"/>
  <c r="AC13" i="17" s="1"/>
  <c r="V13" i="17"/>
  <c r="AB13" i="17" s="1"/>
  <c r="X12" i="17"/>
  <c r="W12" i="17"/>
  <c r="V12" i="17"/>
  <c r="AB12" i="17" s="1"/>
  <c r="X11" i="17"/>
  <c r="W11" i="17"/>
  <c r="AC11" i="17" s="1"/>
  <c r="V11" i="17"/>
  <c r="AB11" i="17" s="1"/>
  <c r="X10" i="17"/>
  <c r="W10" i="17"/>
  <c r="AC10" i="17" s="1"/>
  <c r="V10" i="17"/>
  <c r="AB10" i="17" s="1"/>
  <c r="X9" i="17"/>
  <c r="W9" i="17"/>
  <c r="AC9" i="17" s="1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AC6" i="17" s="1"/>
  <c r="V6" i="17"/>
  <c r="AB6" i="17" s="1"/>
  <c r="X5" i="17"/>
  <c r="W5" i="17"/>
  <c r="AC5" i="17" s="1"/>
  <c r="V5" i="17"/>
  <c r="AB5" i="17" s="1"/>
  <c r="X4" i="17"/>
  <c r="W4" i="17"/>
  <c r="V4" i="17"/>
  <c r="AB4" i="17" s="1"/>
  <c r="X3" i="17"/>
  <c r="W3" i="17"/>
  <c r="AC3" i="17" s="1"/>
  <c r="V3" i="17"/>
  <c r="AB3" i="17" s="1"/>
  <c r="X2" i="17"/>
  <c r="W2" i="17"/>
  <c r="AC2" i="17" s="1"/>
  <c r="V2" i="17"/>
  <c r="AB2" i="17" s="1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A12" i="21" s="1"/>
  <c r="AE394" i="16"/>
  <c r="AE393" i="16"/>
  <c r="AE392" i="16"/>
  <c r="AE391" i="16"/>
  <c r="AE390" i="16"/>
  <c r="AE389" i="16"/>
  <c r="AE388" i="16"/>
  <c r="AE387" i="16"/>
  <c r="AE386" i="16"/>
  <c r="AE385" i="16"/>
  <c r="AE384" i="16"/>
  <c r="AE383" i="16"/>
  <c r="AE382" i="16"/>
  <c r="AD382" i="16"/>
  <c r="AC382" i="16"/>
  <c r="AE381" i="16"/>
  <c r="AD381" i="16"/>
  <c r="AC381" i="16"/>
  <c r="AE380" i="16"/>
  <c r="AD380" i="16"/>
  <c r="AC380" i="16"/>
  <c r="AE379" i="16"/>
  <c r="AD379" i="16"/>
  <c r="AC379" i="16"/>
  <c r="AE378" i="16"/>
  <c r="AD378" i="16"/>
  <c r="AC378" i="16"/>
  <c r="AE377" i="16"/>
  <c r="AD377" i="16"/>
  <c r="AC377" i="16"/>
  <c r="AE376" i="16"/>
  <c r="AD376" i="16"/>
  <c r="AC376" i="16"/>
  <c r="AE375" i="16"/>
  <c r="AD375" i="16"/>
  <c r="AC375" i="16"/>
  <c r="AE374" i="16"/>
  <c r="AD374" i="16"/>
  <c r="AC374" i="16"/>
  <c r="AE373" i="16"/>
  <c r="AD373" i="16"/>
  <c r="AC373" i="16"/>
  <c r="AE372" i="16"/>
  <c r="AD372" i="16"/>
  <c r="AC372" i="16"/>
  <c r="AE371" i="16"/>
  <c r="AD371" i="16"/>
  <c r="AC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A11" i="21" s="1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A10" i="21" s="1"/>
  <c r="AE236" i="16"/>
  <c r="AE235" i="16"/>
  <c r="AE234" i="16"/>
  <c r="AE233" i="16"/>
  <c r="AE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E208" i="16"/>
  <c r="AE207" i="16"/>
  <c r="AE206" i="16"/>
  <c r="AE205" i="16"/>
  <c r="AE204" i="16"/>
  <c r="AE203" i="16"/>
  <c r="AE202" i="16"/>
  <c r="AE201" i="16"/>
  <c r="AE200" i="16"/>
  <c r="AE199" i="16"/>
  <c r="AE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E133" i="16"/>
  <c r="AE132" i="16"/>
  <c r="AE131" i="16"/>
  <c r="AE130" i="16"/>
  <c r="AE129" i="16"/>
  <c r="AE128" i="16"/>
  <c r="AE127" i="16"/>
  <c r="AE126" i="16"/>
  <c r="AE125" i="16"/>
  <c r="AE124" i="16"/>
  <c r="AE123" i="16"/>
  <c r="AE122" i="16"/>
  <c r="AE121" i="16"/>
  <c r="AE120" i="16"/>
  <c r="AE119" i="16"/>
  <c r="AE118" i="16"/>
  <c r="AE117" i="16"/>
  <c r="AE116" i="16"/>
  <c r="AE115" i="16"/>
  <c r="AE114" i="16"/>
  <c r="AE113" i="16"/>
  <c r="AE112" i="16"/>
  <c r="AE111" i="16"/>
  <c r="AE110" i="16"/>
  <c r="AE109" i="16"/>
  <c r="AE108" i="16"/>
  <c r="AE107" i="16"/>
  <c r="AE106" i="16"/>
  <c r="AE105" i="16"/>
  <c r="AE104" i="16"/>
  <c r="AE103" i="16"/>
  <c r="AE102" i="16"/>
  <c r="AE101" i="16"/>
  <c r="AE100" i="16"/>
  <c r="AE99" i="16"/>
  <c r="AE98" i="16"/>
  <c r="AE97" i="16"/>
  <c r="AE96" i="16"/>
  <c r="AE95" i="16"/>
  <c r="AE94" i="16"/>
  <c r="AE93" i="16"/>
  <c r="AE92" i="16"/>
  <c r="AE91" i="16"/>
  <c r="AE90" i="16"/>
  <c r="AE89" i="16"/>
  <c r="AG88" i="16"/>
  <c r="AF88" i="16"/>
  <c r="AG87" i="16"/>
  <c r="AF87" i="16"/>
  <c r="AG86" i="16"/>
  <c r="AF86" i="16"/>
  <c r="AG85" i="16"/>
  <c r="AF85" i="16"/>
  <c r="AG84" i="16"/>
  <c r="AF84" i="16"/>
  <c r="AG83" i="16"/>
  <c r="AF83" i="16"/>
  <c r="AG82" i="16"/>
  <c r="AF82" i="16"/>
  <c r="AG81" i="16"/>
  <c r="AF81" i="16"/>
  <c r="AG80" i="16"/>
  <c r="AF80" i="16"/>
  <c r="AG79" i="16"/>
  <c r="AF79" i="16"/>
  <c r="AG78" i="16"/>
  <c r="AF78" i="16"/>
  <c r="AG77" i="16"/>
  <c r="AF77" i="16"/>
  <c r="AE76" i="16"/>
  <c r="AE75" i="16"/>
  <c r="AE74" i="16"/>
  <c r="AE73" i="16"/>
  <c r="AE72" i="16"/>
  <c r="AE71" i="16"/>
  <c r="AE70" i="16"/>
  <c r="AE69" i="16"/>
  <c r="AE68" i="16"/>
  <c r="AE67" i="16"/>
  <c r="AE66" i="16"/>
  <c r="AE65" i="16"/>
  <c r="AE64" i="16"/>
  <c r="AE63" i="16"/>
  <c r="AE62" i="16"/>
  <c r="AE61" i="16"/>
  <c r="AE60" i="16"/>
  <c r="AE59" i="16"/>
  <c r="AE58" i="16"/>
  <c r="AE57" i="16"/>
  <c r="AE56" i="16"/>
  <c r="AE55" i="16"/>
  <c r="AE54" i="16"/>
  <c r="AE53" i="16"/>
  <c r="AE52" i="16"/>
  <c r="AG51" i="16"/>
  <c r="AF51" i="16"/>
  <c r="AG50" i="16"/>
  <c r="AF50" i="16"/>
  <c r="AG49" i="16"/>
  <c r="AF49" i="16"/>
  <c r="AG48" i="16"/>
  <c r="AF48" i="16"/>
  <c r="AG47" i="16"/>
  <c r="AF47" i="16"/>
  <c r="AG46" i="16"/>
  <c r="AF46" i="16"/>
  <c r="AG45" i="16"/>
  <c r="AF45" i="16"/>
  <c r="AG44" i="16"/>
  <c r="AF44" i="16"/>
  <c r="AG43" i="16"/>
  <c r="AF43" i="16"/>
  <c r="AG42" i="16"/>
  <c r="AF42" i="16"/>
  <c r="AG41" i="16"/>
  <c r="AF41" i="16"/>
  <c r="AG40" i="16"/>
  <c r="AF40" i="16"/>
  <c r="AG39" i="16"/>
  <c r="AF39" i="16"/>
  <c r="AE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V382" i="16"/>
  <c r="AB382" i="16" s="1"/>
  <c r="V381" i="16"/>
  <c r="AB381" i="16" s="1"/>
  <c r="V380" i="16"/>
  <c r="AB380" i="16" s="1"/>
  <c r="V379" i="16"/>
  <c r="AB379" i="16" s="1"/>
  <c r="V378" i="16"/>
  <c r="AB378" i="16" s="1"/>
  <c r="V377" i="16"/>
  <c r="AB377" i="16" s="1"/>
  <c r="V376" i="16"/>
  <c r="AB376" i="16" s="1"/>
  <c r="V375" i="16"/>
  <c r="AB375" i="16" s="1"/>
  <c r="V374" i="16"/>
  <c r="AB374" i="16" s="1"/>
  <c r="V373" i="16"/>
  <c r="AB373" i="16" s="1"/>
  <c r="V372" i="16"/>
  <c r="AB372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AO2" i="16" s="1"/>
  <c r="AO7" i="16" s="1"/>
  <c r="W2" i="16"/>
  <c r="AC2" i="16" s="1"/>
  <c r="V2" i="16"/>
  <c r="AB2" i="16" s="1"/>
  <c r="AD51" i="6"/>
  <c r="AB51" i="6"/>
  <c r="AA51" i="6"/>
  <c r="Z51" i="6"/>
  <c r="X51" i="6"/>
  <c r="W51" i="6"/>
  <c r="V51" i="6"/>
  <c r="U51" i="6"/>
  <c r="AD50" i="6"/>
  <c r="AB50" i="6"/>
  <c r="AA50" i="6"/>
  <c r="Z50" i="6"/>
  <c r="Y50" i="6"/>
  <c r="X50" i="6"/>
  <c r="W50" i="6"/>
  <c r="V50" i="6"/>
  <c r="U50" i="6"/>
  <c r="AD49" i="6"/>
  <c r="AB49" i="6"/>
  <c r="AA49" i="6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AA45" i="7" s="1"/>
  <c r="Z45" i="6"/>
  <c r="X45" i="6"/>
  <c r="W45" i="6"/>
  <c r="V45" i="6"/>
  <c r="U45" i="6"/>
  <c r="AD44" i="6"/>
  <c r="AC44" i="6"/>
  <c r="AB44" i="6"/>
  <c r="AA44" i="6"/>
  <c r="Z44" i="6"/>
  <c r="X44" i="6"/>
  <c r="W44" i="6"/>
  <c r="V44" i="6"/>
  <c r="U44" i="6"/>
  <c r="AD43" i="6"/>
  <c r="AB43" i="6"/>
  <c r="AA43" i="6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Z35" i="6"/>
  <c r="X35" i="6"/>
  <c r="W35" i="6"/>
  <c r="V35" i="6"/>
  <c r="U35" i="6"/>
  <c r="AD34" i="6"/>
  <c r="AB34" i="6"/>
  <c r="AA34" i="6"/>
  <c r="Z34" i="6"/>
  <c r="Y34" i="6"/>
  <c r="X34" i="6"/>
  <c r="W34" i="6"/>
  <c r="V34" i="6"/>
  <c r="U34" i="6"/>
  <c r="AD33" i="6"/>
  <c r="AB33" i="6"/>
  <c r="AA33" i="6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AA31" i="7" s="1"/>
  <c r="Z31" i="6"/>
  <c r="X31" i="6"/>
  <c r="W31" i="6"/>
  <c r="V31" i="6"/>
  <c r="U31" i="6"/>
  <c r="AD30" i="6"/>
  <c r="AB30" i="6"/>
  <c r="AA30" i="6"/>
  <c r="AA30" i="7" s="1"/>
  <c r="Z30" i="6"/>
  <c r="X30" i="6"/>
  <c r="W30" i="6"/>
  <c r="V30" i="6"/>
  <c r="U30" i="6"/>
  <c r="AD29" i="6"/>
  <c r="AB29" i="6"/>
  <c r="AA29" i="6"/>
  <c r="AA29" i="7" s="1"/>
  <c r="Z29" i="6"/>
  <c r="X29" i="6"/>
  <c r="W29" i="6"/>
  <c r="V29" i="6"/>
  <c r="U29" i="6"/>
  <c r="AD28" i="6"/>
  <c r="AC28" i="6"/>
  <c r="AB28" i="6"/>
  <c r="AA28" i="6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AA21" i="7" s="1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AA5" i="7" s="1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7" i="13"/>
  <c r="V47" i="13"/>
  <c r="T47" i="13"/>
  <c r="P47" i="13"/>
  <c r="O47" i="13"/>
  <c r="N47" i="13"/>
  <c r="M47" i="13"/>
  <c r="V46" i="13"/>
  <c r="U46" i="13"/>
  <c r="T46" i="13"/>
  <c r="P46" i="13"/>
  <c r="O46" i="13"/>
  <c r="N46" i="13"/>
  <c r="M46" i="13"/>
  <c r="X45" i="13"/>
  <c r="V45" i="13"/>
  <c r="U45" i="13"/>
  <c r="T45" i="13"/>
  <c r="P45" i="13"/>
  <c r="O45" i="13"/>
  <c r="N45" i="13"/>
  <c r="M45" i="13"/>
  <c r="X47" i="12"/>
  <c r="V47" i="12"/>
  <c r="T47" i="12"/>
  <c r="P47" i="12"/>
  <c r="O47" i="12"/>
  <c r="N47" i="12"/>
  <c r="M47" i="12"/>
  <c r="V46" i="12"/>
  <c r="U46" i="12"/>
  <c r="T46" i="12"/>
  <c r="P46" i="12"/>
  <c r="O46" i="12"/>
  <c r="N46" i="12"/>
  <c r="M46" i="12"/>
  <c r="X45" i="12"/>
  <c r="V45" i="12"/>
  <c r="V49" i="12" s="1"/>
  <c r="U45" i="12"/>
  <c r="U49" i="12" s="1"/>
  <c r="T45" i="12"/>
  <c r="T49" i="12" s="1"/>
  <c r="P45" i="12"/>
  <c r="P49" i="12" s="1"/>
  <c r="O45" i="12"/>
  <c r="O49" i="12" s="1"/>
  <c r="N45" i="12"/>
  <c r="N49" i="12" s="1"/>
  <c r="M45" i="12"/>
  <c r="M49" i="12" s="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7" i="11"/>
  <c r="V47" i="11"/>
  <c r="T47" i="11"/>
  <c r="P47" i="11"/>
  <c r="O47" i="11"/>
  <c r="N47" i="11"/>
  <c r="M47" i="11"/>
  <c r="V46" i="11"/>
  <c r="U46" i="11"/>
  <c r="T46" i="11"/>
  <c r="P46" i="11"/>
  <c r="O46" i="11"/>
  <c r="N46" i="11"/>
  <c r="M46" i="11"/>
  <c r="X45" i="11"/>
  <c r="V45" i="11"/>
  <c r="V49" i="11" s="1"/>
  <c r="U45" i="11"/>
  <c r="U49" i="11" s="1"/>
  <c r="T45" i="11"/>
  <c r="T49" i="11" s="1"/>
  <c r="P45" i="11"/>
  <c r="P49" i="11" s="1"/>
  <c r="O45" i="11"/>
  <c r="O49" i="11" s="1"/>
  <c r="N45" i="11"/>
  <c r="N49" i="11" s="1"/>
  <c r="M45" i="11"/>
  <c r="M49" i="11" s="1"/>
  <c r="X47" i="10"/>
  <c r="X45" i="10"/>
  <c r="V47" i="10"/>
  <c r="V46" i="10"/>
  <c r="V45" i="10"/>
  <c r="U46" i="10"/>
  <c r="U45" i="10"/>
  <c r="T47" i="10"/>
  <c r="T46" i="10"/>
  <c r="T45" i="10"/>
  <c r="R48" i="10"/>
  <c r="P47" i="10"/>
  <c r="P46" i="10"/>
  <c r="P45" i="10"/>
  <c r="O47" i="10"/>
  <c r="O46" i="10"/>
  <c r="O45" i="10"/>
  <c r="N47" i="10"/>
  <c r="N46" i="10"/>
  <c r="N45" i="10"/>
  <c r="M47" i="10"/>
  <c r="M46" i="10"/>
  <c r="M45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5" i="10"/>
  <c r="Z14" i="10"/>
  <c r="Z13" i="10"/>
  <c r="Z12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5" i="10"/>
  <c r="V14" i="10"/>
  <c r="V13" i="10"/>
  <c r="V12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5" i="10"/>
  <c r="U14" i="10"/>
  <c r="U13" i="10"/>
  <c r="U12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5" i="10"/>
  <c r="T14" i="10"/>
  <c r="T13" i="10"/>
  <c r="T12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5" i="10"/>
  <c r="R14" i="10"/>
  <c r="R13" i="10"/>
  <c r="R12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5" i="10"/>
  <c r="P14" i="10"/>
  <c r="P13" i="10"/>
  <c r="P12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5" i="10"/>
  <c r="O14" i="10"/>
  <c r="O13" i="10"/>
  <c r="O12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5" i="10"/>
  <c r="N14" i="10"/>
  <c r="N13" i="10"/>
  <c r="N12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5" i="10"/>
  <c r="M14" i="10"/>
  <c r="M13" i="10"/>
  <c r="M12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5" i="10"/>
  <c r="L14" i="10"/>
  <c r="L13" i="10"/>
  <c r="L12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M57" i="7" s="1"/>
  <c r="AG51" i="7"/>
  <c r="AA51" i="7"/>
  <c r="Z51" i="7"/>
  <c r="AG50" i="7"/>
  <c r="AA50" i="7"/>
  <c r="Z50" i="7"/>
  <c r="AG49" i="7"/>
  <c r="AA49" i="7"/>
  <c r="Z49" i="7"/>
  <c r="AG48" i="7"/>
  <c r="AA48" i="7"/>
  <c r="Z48" i="7"/>
  <c r="AG47" i="7"/>
  <c r="AA47" i="7"/>
  <c r="Z47" i="7"/>
  <c r="AG46" i="7"/>
  <c r="AA46" i="7"/>
  <c r="Z46" i="7"/>
  <c r="AG45" i="7"/>
  <c r="Z45" i="7"/>
  <c r="AG44" i="7"/>
  <c r="AA44" i="7"/>
  <c r="Z44" i="7"/>
  <c r="AG43" i="7"/>
  <c r="AA43" i="7"/>
  <c r="Z43" i="7"/>
  <c r="AG42" i="7"/>
  <c r="AA42" i="7"/>
  <c r="Z42" i="7"/>
  <c r="AG41" i="7"/>
  <c r="AA41" i="7"/>
  <c r="Z41" i="7"/>
  <c r="AG40" i="7"/>
  <c r="AA40" i="7"/>
  <c r="Z40" i="7"/>
  <c r="AG39" i="7"/>
  <c r="AA39" i="7"/>
  <c r="Z39" i="7"/>
  <c r="AG38" i="7"/>
  <c r="AA38" i="7"/>
  <c r="Z38" i="7"/>
  <c r="AG37" i="7"/>
  <c r="Z37" i="7"/>
  <c r="AG36" i="7"/>
  <c r="AA36" i="7"/>
  <c r="Z36" i="7"/>
  <c r="AG35" i="7"/>
  <c r="AA35" i="7"/>
  <c r="Z35" i="7"/>
  <c r="AG34" i="7"/>
  <c r="AA34" i="7"/>
  <c r="Z34" i="7"/>
  <c r="AG33" i="7"/>
  <c r="AA33" i="7"/>
  <c r="Z33" i="7"/>
  <c r="AG32" i="7"/>
  <c r="AA32" i="7"/>
  <c r="Z32" i="7"/>
  <c r="AG31" i="7"/>
  <c r="Z31" i="7"/>
  <c r="AG30" i="7"/>
  <c r="Z30" i="7"/>
  <c r="AG29" i="7"/>
  <c r="Z29" i="7"/>
  <c r="AG28" i="7"/>
  <c r="AA28" i="7"/>
  <c r="Z28" i="7"/>
  <c r="AG27" i="7"/>
  <c r="AA27" i="7"/>
  <c r="Z27" i="7"/>
  <c r="AG26" i="7"/>
  <c r="AA26" i="7"/>
  <c r="Z26" i="7"/>
  <c r="AG25" i="7"/>
  <c r="AA25" i="7"/>
  <c r="Z25" i="7"/>
  <c r="AG24" i="7"/>
  <c r="AA24" i="7"/>
  <c r="Z24" i="7"/>
  <c r="AG23" i="7"/>
  <c r="AA23" i="7"/>
  <c r="Z23" i="7"/>
  <c r="AG22" i="7"/>
  <c r="AA22" i="7"/>
  <c r="Z22" i="7"/>
  <c r="AG21" i="7"/>
  <c r="Z21" i="7"/>
  <c r="AG20" i="7"/>
  <c r="AA20" i="7"/>
  <c r="Z20" i="7"/>
  <c r="AG19" i="7"/>
  <c r="AA19" i="7"/>
  <c r="Z19" i="7"/>
  <c r="AG18" i="7"/>
  <c r="AA18" i="7"/>
  <c r="Z18" i="7"/>
  <c r="AG17" i="7"/>
  <c r="AA17" i="7"/>
  <c r="Z17" i="7"/>
  <c r="AG16" i="7"/>
  <c r="AA16" i="7"/>
  <c r="Z16" i="7"/>
  <c r="AG15" i="7"/>
  <c r="AA15" i="7"/>
  <c r="Z15" i="7"/>
  <c r="AG14" i="7"/>
  <c r="AA14" i="7"/>
  <c r="Z14" i="7"/>
  <c r="AG13" i="7"/>
  <c r="Z13" i="7"/>
  <c r="AG12" i="7"/>
  <c r="AA12" i="7"/>
  <c r="Z12" i="7"/>
  <c r="AG11" i="7"/>
  <c r="AA11" i="7"/>
  <c r="Z11" i="7"/>
  <c r="AG10" i="7"/>
  <c r="AA10" i="7"/>
  <c r="Z10" i="7"/>
  <c r="AG9" i="7"/>
  <c r="AA9" i="7"/>
  <c r="Z9" i="7"/>
  <c r="AG8" i="7"/>
  <c r="AA8" i="7"/>
  <c r="Z8" i="7"/>
  <c r="AG7" i="7"/>
  <c r="AA7" i="7"/>
  <c r="Z7" i="7"/>
  <c r="AG6" i="7"/>
  <c r="AA6" i="7"/>
  <c r="Z6" i="7"/>
  <c r="AG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8" i="6"/>
  <c r="E28" i="5"/>
  <c r="AJ56" i="6"/>
  <c r="AI55" i="7"/>
  <c r="AI56" i="6"/>
  <c r="AH58" i="6"/>
  <c r="AH56" i="6"/>
  <c r="W56" i="6"/>
  <c r="AA58" i="6"/>
  <c r="U56" i="7"/>
  <c r="F45" i="5"/>
  <c r="E45" i="5"/>
  <c r="D45" i="5"/>
  <c r="F43" i="5"/>
  <c r="D43" i="5"/>
  <c r="E41" i="5"/>
  <c r="D41" i="5"/>
  <c r="F28" i="5"/>
  <c r="AL58" i="6" s="1"/>
  <c r="F23" i="5"/>
  <c r="D23" i="5"/>
  <c r="AG56" i="6" s="1"/>
  <c r="F20" i="5"/>
  <c r="AD58" i="6" s="1"/>
  <c r="E20" i="5"/>
  <c r="D20" i="5"/>
  <c r="AD56" i="6" s="1"/>
  <c r="F18" i="5"/>
  <c r="AB56" i="7" s="1"/>
  <c r="E18" i="5"/>
  <c r="AB55" i="7" s="1"/>
  <c r="T39" i="4"/>
  <c r="S39" i="4"/>
  <c r="R39" i="4"/>
  <c r="Q39" i="4"/>
  <c r="P39" i="4"/>
  <c r="O39" i="4"/>
  <c r="N39" i="4"/>
  <c r="M39" i="4"/>
  <c r="L39" i="4"/>
  <c r="K39" i="4"/>
  <c r="J39" i="4"/>
  <c r="I39" i="4"/>
  <c r="U39" i="4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U43" i="3" s="1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U41" i="3" s="1"/>
  <c r="L41" i="3"/>
  <c r="K41" i="3"/>
  <c r="J41" i="3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U36" i="3" s="1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U35" i="3" s="1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U33" i="3" s="1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U28" i="3" s="1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U27" i="3" s="1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U25" i="3" s="1"/>
  <c r="I25" i="3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U20" i="3" s="1"/>
  <c r="L20" i="3"/>
  <c r="K20" i="3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U19" i="3" s="1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U17" i="3" s="1"/>
  <c r="I17" i="3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U12" i="3" s="1"/>
  <c r="L12" i="3"/>
  <c r="K12" i="3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U11" i="3" s="1"/>
  <c r="I11" i="3"/>
  <c r="T10" i="3"/>
  <c r="S10" i="3"/>
  <c r="R10" i="3"/>
  <c r="Q10" i="3"/>
  <c r="P10" i="3"/>
  <c r="O10" i="3"/>
  <c r="N10" i="3"/>
  <c r="M10" i="3"/>
  <c r="L10" i="3"/>
  <c r="K10" i="3"/>
  <c r="J10" i="3"/>
  <c r="U10" i="3" s="1"/>
  <c r="I10" i="3"/>
  <c r="T9" i="3"/>
  <c r="S9" i="3"/>
  <c r="R9" i="3"/>
  <c r="Q9" i="3"/>
  <c r="P9" i="3"/>
  <c r="O9" i="3"/>
  <c r="N9" i="3"/>
  <c r="M9" i="3"/>
  <c r="L9" i="3"/>
  <c r="U9" i="3" s="1"/>
  <c r="K9" i="3"/>
  <c r="J9" i="3"/>
  <c r="I9" i="3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U4" i="3" s="1"/>
  <c r="L4" i="3"/>
  <c r="K4" i="3"/>
  <c r="J4" i="3"/>
  <c r="I4" i="3"/>
  <c r="T3" i="3"/>
  <c r="S3" i="3"/>
  <c r="R3" i="3"/>
  <c r="Q3" i="3"/>
  <c r="P3" i="3"/>
  <c r="O3" i="3"/>
  <c r="N3" i="3"/>
  <c r="M3" i="3"/>
  <c r="L3" i="3"/>
  <c r="K3" i="3"/>
  <c r="J3" i="3"/>
  <c r="U3" i="3" s="1"/>
  <c r="I3" i="3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31" i="23" l="1"/>
  <c r="I31" i="7"/>
  <c r="I31" i="8"/>
  <c r="I31" i="14"/>
  <c r="I31" i="9"/>
  <c r="I31" i="6"/>
  <c r="I7" i="23"/>
  <c r="P13" i="5"/>
  <c r="I7" i="14"/>
  <c r="I7" i="8"/>
  <c r="I7" i="7"/>
  <c r="I7" i="6"/>
  <c r="I7" i="9"/>
  <c r="I18" i="23"/>
  <c r="I18" i="14"/>
  <c r="I18" i="9"/>
  <c r="I18" i="6"/>
  <c r="I18" i="8"/>
  <c r="I18" i="7"/>
  <c r="I26" i="23"/>
  <c r="I26" i="14"/>
  <c r="I26" i="7"/>
  <c r="I26" i="9"/>
  <c r="I26" i="6"/>
  <c r="I26" i="8"/>
  <c r="I34" i="23"/>
  <c r="I34" i="14"/>
  <c r="I34" i="7"/>
  <c r="I34" i="9"/>
  <c r="I34" i="6"/>
  <c r="I34" i="8"/>
  <c r="I50" i="23"/>
  <c r="I50" i="14"/>
  <c r="I50" i="7"/>
  <c r="I50" i="9"/>
  <c r="I50" i="6"/>
  <c r="I50" i="8"/>
  <c r="I9" i="24"/>
  <c r="AG52" i="24" s="1"/>
  <c r="I9" i="12"/>
  <c r="I9" i="11"/>
  <c r="I9" i="13"/>
  <c r="I9" i="10"/>
  <c r="I15" i="24"/>
  <c r="X58" i="24" s="1"/>
  <c r="I15" i="13"/>
  <c r="I15" i="12"/>
  <c r="I15" i="11"/>
  <c r="I15" i="10"/>
  <c r="I17" i="24"/>
  <c r="AF60" i="24" s="1"/>
  <c r="I17" i="12"/>
  <c r="I17" i="11"/>
  <c r="I17" i="13"/>
  <c r="I17" i="10"/>
  <c r="I19" i="24"/>
  <c r="I19" i="12"/>
  <c r="I19" i="11"/>
  <c r="I19" i="10"/>
  <c r="I19" i="13"/>
  <c r="I21" i="24"/>
  <c r="AF64" i="24" s="1"/>
  <c r="I21" i="11"/>
  <c r="I21" i="13"/>
  <c r="I21" i="12"/>
  <c r="I21" i="10"/>
  <c r="I23" i="24"/>
  <c r="X66" i="24" s="1"/>
  <c r="I23" i="13"/>
  <c r="I23" i="12"/>
  <c r="I23" i="11"/>
  <c r="I23" i="10"/>
  <c r="I25" i="24"/>
  <c r="AF68" i="24" s="1"/>
  <c r="I25" i="12"/>
  <c r="I25" i="11"/>
  <c r="I25" i="13"/>
  <c r="I25" i="10"/>
  <c r="I27" i="24"/>
  <c r="I27" i="12"/>
  <c r="I27" i="11"/>
  <c r="I27" i="10"/>
  <c r="I27" i="13"/>
  <c r="I29" i="24"/>
  <c r="AD72" i="24" s="1"/>
  <c r="I29" i="11"/>
  <c r="I29" i="13"/>
  <c r="I29" i="12"/>
  <c r="I29" i="10"/>
  <c r="I31" i="24"/>
  <c r="AF74" i="24" s="1"/>
  <c r="I31" i="13"/>
  <c r="I31" i="12"/>
  <c r="I31" i="11"/>
  <c r="I31" i="10"/>
  <c r="I33" i="24"/>
  <c r="AC76" i="24" s="1"/>
  <c r="I33" i="12"/>
  <c r="I33" i="11"/>
  <c r="I33" i="10"/>
  <c r="I33" i="13"/>
  <c r="I35" i="24"/>
  <c r="I35" i="12"/>
  <c r="I35" i="11"/>
  <c r="I35" i="10"/>
  <c r="I35" i="13"/>
  <c r="I37" i="24"/>
  <c r="I37" i="11"/>
  <c r="I37" i="13"/>
  <c r="I37" i="12"/>
  <c r="I37" i="10"/>
  <c r="I39" i="24"/>
  <c r="I39" i="13"/>
  <c r="I39" i="12"/>
  <c r="I39" i="11"/>
  <c r="I39" i="10"/>
  <c r="I41" i="24"/>
  <c r="AD84" i="24" s="1"/>
  <c r="I41" i="12"/>
  <c r="I41" i="11"/>
  <c r="I41" i="10"/>
  <c r="I41" i="13"/>
  <c r="I10" i="23"/>
  <c r="I10" i="6"/>
  <c r="I10" i="14"/>
  <c r="I10" i="9"/>
  <c r="I10" i="8"/>
  <c r="I10" i="7"/>
  <c r="I15" i="23"/>
  <c r="AO67" i="23" s="1"/>
  <c r="I15" i="14"/>
  <c r="I15" i="8"/>
  <c r="I15" i="7"/>
  <c r="I15" i="6"/>
  <c r="I15" i="9"/>
  <c r="I23" i="23"/>
  <c r="R75" i="23" s="1"/>
  <c r="I23" i="14"/>
  <c r="I23" i="8"/>
  <c r="I23" i="9"/>
  <c r="I23" i="6"/>
  <c r="I23" i="7"/>
  <c r="I32" i="23"/>
  <c r="AU84" i="23" s="1"/>
  <c r="I32" i="14"/>
  <c r="I32" i="8"/>
  <c r="I32" i="9"/>
  <c r="I32" i="6"/>
  <c r="I32" i="7"/>
  <c r="I40" i="23"/>
  <c r="AL92" i="23" s="1"/>
  <c r="I40" i="14"/>
  <c r="I40" i="8"/>
  <c r="I40" i="9"/>
  <c r="I40" i="6"/>
  <c r="I40" i="7"/>
  <c r="I48" i="23"/>
  <c r="I48" i="14"/>
  <c r="I48" i="8"/>
  <c r="I48" i="9"/>
  <c r="I48" i="6"/>
  <c r="I48" i="7"/>
  <c r="I7" i="24"/>
  <c r="Z50" i="24" s="1"/>
  <c r="I7" i="13"/>
  <c r="I7" i="12"/>
  <c r="I7" i="11"/>
  <c r="I7" i="10"/>
  <c r="I20" i="23"/>
  <c r="I20" i="14"/>
  <c r="I20" i="9"/>
  <c r="I20" i="6"/>
  <c r="I20" i="8"/>
  <c r="I20" i="7"/>
  <c r="I22" i="23"/>
  <c r="I22" i="14"/>
  <c r="I22" i="7"/>
  <c r="I22" i="8"/>
  <c r="I22" i="9"/>
  <c r="I22" i="6"/>
  <c r="I28" i="23"/>
  <c r="I28" i="14"/>
  <c r="I28" i="9"/>
  <c r="I28" i="6"/>
  <c r="I28" i="8"/>
  <c r="I28" i="7"/>
  <c r="I30" i="23"/>
  <c r="BB82" i="23" s="1"/>
  <c r="I30" i="14"/>
  <c r="I30" i="8"/>
  <c r="I30" i="7"/>
  <c r="I30" i="9"/>
  <c r="I30" i="6"/>
  <c r="I38" i="23"/>
  <c r="AM90" i="23" s="1"/>
  <c r="I38" i="14"/>
  <c r="I38" i="8"/>
  <c r="I38" i="7"/>
  <c r="I38" i="9"/>
  <c r="I38" i="6"/>
  <c r="I13" i="24"/>
  <c r="AF56" i="24" s="1"/>
  <c r="I13" i="11"/>
  <c r="I13" i="13"/>
  <c r="I13" i="12"/>
  <c r="I13" i="10"/>
  <c r="I6" i="23"/>
  <c r="I6" i="14"/>
  <c r="I6" i="8"/>
  <c r="I6" i="7"/>
  <c r="I6" i="6"/>
  <c r="I6" i="9"/>
  <c r="I46" i="23"/>
  <c r="I46" i="14"/>
  <c r="I46" i="8"/>
  <c r="I46" i="7"/>
  <c r="I46" i="9"/>
  <c r="I46" i="6"/>
  <c r="I39" i="23"/>
  <c r="I39" i="14"/>
  <c r="I39" i="7"/>
  <c r="I39" i="8"/>
  <c r="I39" i="9"/>
  <c r="I39" i="6"/>
  <c r="I8" i="23"/>
  <c r="AJ60" i="23" s="1"/>
  <c r="I8" i="14"/>
  <c r="I8" i="8"/>
  <c r="I8" i="7"/>
  <c r="I8" i="6"/>
  <c r="I8" i="9"/>
  <c r="I16" i="23"/>
  <c r="BC68" i="23" s="1"/>
  <c r="I16" i="14"/>
  <c r="I16" i="8"/>
  <c r="I16" i="7"/>
  <c r="I16" i="6"/>
  <c r="I16" i="9"/>
  <c r="I24" i="23"/>
  <c r="AM76" i="23" s="1"/>
  <c r="I24" i="14"/>
  <c r="I24" i="8"/>
  <c r="I24" i="9"/>
  <c r="I24" i="7"/>
  <c r="I24" i="6"/>
  <c r="I42" i="23"/>
  <c r="I42" i="14"/>
  <c r="I42" i="7"/>
  <c r="I42" i="9"/>
  <c r="I42" i="6"/>
  <c r="I42" i="8"/>
  <c r="P14" i="5"/>
  <c r="I5" i="24"/>
  <c r="AG48" i="24" s="1"/>
  <c r="I5" i="11"/>
  <c r="I5" i="13"/>
  <c r="I5" i="12"/>
  <c r="I5" i="10"/>
  <c r="I11" i="24"/>
  <c r="I11" i="12"/>
  <c r="I11" i="11"/>
  <c r="I11" i="10"/>
  <c r="I11" i="13"/>
  <c r="I14" i="23"/>
  <c r="I14" i="14"/>
  <c r="I14" i="8"/>
  <c r="I14" i="7"/>
  <c r="I14" i="6"/>
  <c r="I14" i="9"/>
  <c r="I12" i="23"/>
  <c r="I12" i="14"/>
  <c r="I12" i="9"/>
  <c r="I12" i="8"/>
  <c r="I12" i="7"/>
  <c r="I12" i="6"/>
  <c r="I11" i="23"/>
  <c r="AR63" i="23" s="1"/>
  <c r="I11" i="14"/>
  <c r="I11" i="6"/>
  <c r="I11" i="9"/>
  <c r="I11" i="8"/>
  <c r="I11" i="7"/>
  <c r="I17" i="23"/>
  <c r="I17" i="14"/>
  <c r="I17" i="9"/>
  <c r="I17" i="6"/>
  <c r="I17" i="8"/>
  <c r="I17" i="7"/>
  <c r="I21" i="23"/>
  <c r="I21" i="14"/>
  <c r="I21" i="9"/>
  <c r="I21" i="6"/>
  <c r="I21" i="8"/>
  <c r="I21" i="7"/>
  <c r="I29" i="23"/>
  <c r="AQ81" i="23" s="1"/>
  <c r="I29" i="9"/>
  <c r="I29" i="6"/>
  <c r="I29" i="14"/>
  <c r="I29" i="8"/>
  <c r="I29" i="7"/>
  <c r="I35" i="23"/>
  <c r="I35" i="7"/>
  <c r="I35" i="9"/>
  <c r="I35" i="6"/>
  <c r="I35" i="8"/>
  <c r="I35" i="14"/>
  <c r="I36" i="23"/>
  <c r="AR88" i="23" s="1"/>
  <c r="I36" i="14"/>
  <c r="I36" i="9"/>
  <c r="I36" i="6"/>
  <c r="I36" i="8"/>
  <c r="I36" i="7"/>
  <c r="I43" i="23"/>
  <c r="I43" i="7"/>
  <c r="I43" i="14"/>
  <c r="I43" i="9"/>
  <c r="I43" i="6"/>
  <c r="I43" i="8"/>
  <c r="I45" i="23"/>
  <c r="AU97" i="23" s="1"/>
  <c r="I45" i="9"/>
  <c r="I45" i="6"/>
  <c r="I45" i="14"/>
  <c r="I45" i="8"/>
  <c r="I45" i="7"/>
  <c r="I51" i="23"/>
  <c r="I51" i="7"/>
  <c r="I51" i="9"/>
  <c r="I51" i="6"/>
  <c r="I51" i="8"/>
  <c r="I51" i="14"/>
  <c r="I8" i="24"/>
  <c r="AC51" i="24" s="1"/>
  <c r="I8" i="12"/>
  <c r="I8" i="11"/>
  <c r="I8" i="13"/>
  <c r="I8" i="10"/>
  <c r="I12" i="24"/>
  <c r="I12" i="10"/>
  <c r="I12" i="13"/>
  <c r="I12" i="12"/>
  <c r="I12" i="11"/>
  <c r="I14" i="24"/>
  <c r="AA57" i="24" s="1"/>
  <c r="I14" i="10"/>
  <c r="I14" i="12"/>
  <c r="I14" i="11"/>
  <c r="I14" i="13"/>
  <c r="I18" i="24"/>
  <c r="I18" i="11"/>
  <c r="I18" i="10"/>
  <c r="I18" i="13"/>
  <c r="I18" i="12"/>
  <c r="I20" i="24"/>
  <c r="I20" i="10"/>
  <c r="I20" i="13"/>
  <c r="I20" i="12"/>
  <c r="I20" i="11"/>
  <c r="I22" i="24"/>
  <c r="AA65" i="24" s="1"/>
  <c r="I22" i="10"/>
  <c r="I22" i="12"/>
  <c r="I22" i="11"/>
  <c r="I22" i="13"/>
  <c r="I24" i="24"/>
  <c r="I24" i="12"/>
  <c r="I24" i="11"/>
  <c r="I24" i="10"/>
  <c r="I24" i="13"/>
  <c r="I26" i="24"/>
  <c r="I26" i="11"/>
  <c r="I26" i="10"/>
  <c r="I26" i="13"/>
  <c r="I26" i="12"/>
  <c r="I28" i="24"/>
  <c r="I28" i="10"/>
  <c r="I28" i="13"/>
  <c r="I28" i="12"/>
  <c r="I28" i="11"/>
  <c r="I30" i="24"/>
  <c r="I30" i="10"/>
  <c r="I30" i="12"/>
  <c r="I30" i="11"/>
  <c r="I30" i="13"/>
  <c r="I32" i="24"/>
  <c r="I32" i="12"/>
  <c r="I32" i="11"/>
  <c r="I32" i="10"/>
  <c r="I32" i="13"/>
  <c r="I34" i="24"/>
  <c r="I34" i="11"/>
  <c r="I34" i="10"/>
  <c r="I34" i="13"/>
  <c r="I34" i="12"/>
  <c r="I36" i="24"/>
  <c r="I36" i="10"/>
  <c r="I36" i="13"/>
  <c r="I36" i="12"/>
  <c r="I36" i="11"/>
  <c r="I38" i="24"/>
  <c r="I38" i="10"/>
  <c r="I38" i="12"/>
  <c r="I38" i="11"/>
  <c r="I38" i="13"/>
  <c r="I40" i="24"/>
  <c r="AD83" i="24" s="1"/>
  <c r="I40" i="12"/>
  <c r="I40" i="11"/>
  <c r="I40" i="10"/>
  <c r="I40" i="13"/>
  <c r="I42" i="24"/>
  <c r="I42" i="11"/>
  <c r="I42" i="10"/>
  <c r="I42" i="13"/>
  <c r="I42" i="12"/>
  <c r="I5" i="23"/>
  <c r="P12" i="5"/>
  <c r="I5" i="14"/>
  <c r="I5" i="9"/>
  <c r="I5" i="8"/>
  <c r="I5" i="7"/>
  <c r="I5" i="6"/>
  <c r="I9" i="23"/>
  <c r="I9" i="14"/>
  <c r="I9" i="6"/>
  <c r="I9" i="9"/>
  <c r="I9" i="8"/>
  <c r="I9" i="7"/>
  <c r="I19" i="23"/>
  <c r="AY71" i="23" s="1"/>
  <c r="I19" i="14"/>
  <c r="I19" i="9"/>
  <c r="I19" i="6"/>
  <c r="I19" i="8"/>
  <c r="I19" i="7"/>
  <c r="I25" i="23"/>
  <c r="AW77" i="23" s="1"/>
  <c r="I25" i="14"/>
  <c r="I25" i="7"/>
  <c r="I25" i="9"/>
  <c r="I25" i="6"/>
  <c r="I25" i="8"/>
  <c r="I27" i="23"/>
  <c r="I27" i="7"/>
  <c r="I27" i="14"/>
  <c r="I27" i="9"/>
  <c r="I27" i="6"/>
  <c r="I27" i="8"/>
  <c r="I33" i="23"/>
  <c r="I33" i="9"/>
  <c r="I33" i="7"/>
  <c r="I33" i="6"/>
  <c r="I33" i="14"/>
  <c r="I33" i="8"/>
  <c r="I37" i="23"/>
  <c r="AP89" i="23" s="1"/>
  <c r="I37" i="9"/>
  <c r="I37" i="6"/>
  <c r="I37" i="8"/>
  <c r="I37" i="7"/>
  <c r="I37" i="14"/>
  <c r="I41" i="23"/>
  <c r="I41" i="14"/>
  <c r="I41" i="9"/>
  <c r="I41" i="7"/>
  <c r="I41" i="6"/>
  <c r="I41" i="8"/>
  <c r="I44" i="23"/>
  <c r="I44" i="14"/>
  <c r="I44" i="9"/>
  <c r="I44" i="6"/>
  <c r="I44" i="8"/>
  <c r="I44" i="7"/>
  <c r="I47" i="23"/>
  <c r="I47" i="7"/>
  <c r="I47" i="8"/>
  <c r="I47" i="14"/>
  <c r="I47" i="9"/>
  <c r="I47" i="6"/>
  <c r="I49" i="23"/>
  <c r="I49" i="9"/>
  <c r="I49" i="7"/>
  <c r="I49" i="6"/>
  <c r="I49" i="14"/>
  <c r="I49" i="8"/>
  <c r="I6" i="24"/>
  <c r="AA49" i="24" s="1"/>
  <c r="I6" i="10"/>
  <c r="I6" i="12"/>
  <c r="I6" i="11"/>
  <c r="I6" i="13"/>
  <c r="I10" i="24"/>
  <c r="I10" i="11"/>
  <c r="I10" i="10"/>
  <c r="I10" i="13"/>
  <c r="I10" i="12"/>
  <c r="I16" i="24"/>
  <c r="I16" i="12"/>
  <c r="I16" i="11"/>
  <c r="I16" i="10"/>
  <c r="I16" i="13"/>
  <c r="I13" i="23"/>
  <c r="AW65" i="23" s="1"/>
  <c r="I13" i="14"/>
  <c r="I13" i="9"/>
  <c r="I13" i="8"/>
  <c r="I13" i="7"/>
  <c r="I13" i="6"/>
  <c r="AJ2" i="16"/>
  <c r="AJ7" i="16" s="1"/>
  <c r="AT2" i="16"/>
  <c r="AT7" i="16" s="1"/>
  <c r="AT3" i="16"/>
  <c r="AJ3" i="16"/>
  <c r="AO6" i="16"/>
  <c r="AA9" i="21"/>
  <c r="AT4" i="16"/>
  <c r="AJ4" i="16"/>
  <c r="AO3" i="16"/>
  <c r="AO4" i="16"/>
  <c r="AT5" i="16"/>
  <c r="AJ6" i="16"/>
  <c r="AT6" i="16"/>
  <c r="AC66" i="17"/>
  <c r="AI6" i="17" s="1"/>
  <c r="AC74" i="17"/>
  <c r="AC82" i="17"/>
  <c r="AC90" i="17"/>
  <c r="AC98" i="17"/>
  <c r="AC72" i="17"/>
  <c r="AC80" i="17"/>
  <c r="AC88" i="17"/>
  <c r="AC96" i="17"/>
  <c r="AC104" i="17"/>
  <c r="AO5" i="16"/>
  <c r="AC70" i="17"/>
  <c r="AC78" i="17"/>
  <c r="AC86" i="17"/>
  <c r="AC94" i="17"/>
  <c r="AC102" i="17"/>
  <c r="AC8" i="17"/>
  <c r="AC16" i="17"/>
  <c r="AC24" i="17"/>
  <c r="AC32" i="17"/>
  <c r="AC40" i="17"/>
  <c r="AC48" i="17"/>
  <c r="AC56" i="17"/>
  <c r="AC64" i="17"/>
  <c r="AC51" i="17"/>
  <c r="AC59" i="17"/>
  <c r="AC67" i="17"/>
  <c r="AC75" i="17"/>
  <c r="AC83" i="17"/>
  <c r="AC91" i="17"/>
  <c r="AC99" i="17"/>
  <c r="AJ3" i="21"/>
  <c r="AG13" i="21"/>
  <c r="AC17" i="17"/>
  <c r="AC25" i="17"/>
  <c r="AC33" i="17"/>
  <c r="AC41" i="17"/>
  <c r="AC49" i="17"/>
  <c r="AC57" i="17"/>
  <c r="AC65" i="17"/>
  <c r="AC73" i="17"/>
  <c r="AC81" i="17"/>
  <c r="AC89" i="17"/>
  <c r="AC97" i="17"/>
  <c r="AC4" i="17"/>
  <c r="AI8" i="17" s="1"/>
  <c r="AC12" i="17"/>
  <c r="AC20" i="17"/>
  <c r="AC28" i="17"/>
  <c r="AC36" i="17"/>
  <c r="AC44" i="17"/>
  <c r="AC52" i="17"/>
  <c r="AC60" i="17"/>
  <c r="AC68" i="17"/>
  <c r="AC76" i="17"/>
  <c r="AC84" i="17"/>
  <c r="AC92" i="17"/>
  <c r="AC100" i="17"/>
  <c r="AC23" i="17"/>
  <c r="AC31" i="17"/>
  <c r="AC39" i="17"/>
  <c r="AC47" i="17"/>
  <c r="AC55" i="17"/>
  <c r="AC63" i="17"/>
  <c r="AC71" i="17"/>
  <c r="AC79" i="17"/>
  <c r="AC87" i="17"/>
  <c r="AC95" i="17"/>
  <c r="AC103" i="17"/>
  <c r="P15" i="5"/>
  <c r="AI5" i="17"/>
  <c r="AC111" i="17"/>
  <c r="AC113" i="17"/>
  <c r="AC115" i="17"/>
  <c r="Y3" i="21"/>
  <c r="AG3" i="21" s="1"/>
  <c r="Y8" i="21"/>
  <c r="AG8" i="21" s="1"/>
  <c r="P16" i="5"/>
  <c r="AC61" i="17"/>
  <c r="AC69" i="17"/>
  <c r="AC77" i="17"/>
  <c r="AC85" i="17"/>
  <c r="AC93" i="17"/>
  <c r="AC101" i="17"/>
  <c r="P17" i="5"/>
  <c r="AJ8" i="21"/>
  <c r="Z4" i="21"/>
  <c r="AH4" i="21" s="1"/>
  <c r="Z8" i="21"/>
  <c r="E36" i="5"/>
  <c r="F36" i="5"/>
  <c r="BC63" i="23"/>
  <c r="AU63" i="23"/>
  <c r="AM63" i="23"/>
  <c r="BB63" i="23"/>
  <c r="AT63" i="23"/>
  <c r="AL63" i="23"/>
  <c r="AX63" i="23"/>
  <c r="AP63" i="23"/>
  <c r="BA63" i="23"/>
  <c r="AO63" i="23"/>
  <c r="AZ63" i="23"/>
  <c r="AN63" i="23"/>
  <c r="AY63" i="23"/>
  <c r="AK63" i="23"/>
  <c r="AW63" i="23"/>
  <c r="AJ63" i="23"/>
  <c r="AV63" i="23"/>
  <c r="AI63" i="23"/>
  <c r="AS63" i="23"/>
  <c r="BD63" i="23"/>
  <c r="BB59" i="23"/>
  <c r="AU60" i="23"/>
  <c r="AV60" i="23"/>
  <c r="BA59" i="23"/>
  <c r="AS59" i="23"/>
  <c r="AK59" i="23"/>
  <c r="AZ59" i="23"/>
  <c r="AR59" i="23"/>
  <c r="AJ59" i="23"/>
  <c r="AY59" i="23"/>
  <c r="AQ59" i="23"/>
  <c r="AI59" i="23"/>
  <c r="AX59" i="23"/>
  <c r="AP59" i="23"/>
  <c r="AW59" i="23"/>
  <c r="AO59" i="23"/>
  <c r="BD59" i="23"/>
  <c r="AV59" i="23"/>
  <c r="AN59" i="23"/>
  <c r="BD67" i="23"/>
  <c r="AV67" i="23"/>
  <c r="AN67" i="23"/>
  <c r="BC67" i="23"/>
  <c r="AU67" i="23"/>
  <c r="AM67" i="23"/>
  <c r="BB67" i="23"/>
  <c r="AT67" i="23"/>
  <c r="AL67" i="23"/>
  <c r="BA67" i="23"/>
  <c r="AS67" i="23"/>
  <c r="AK67" i="23"/>
  <c r="AZ67" i="23"/>
  <c r="AR67" i="23"/>
  <c r="AJ67" i="23"/>
  <c r="AX67" i="23"/>
  <c r="AP67" i="23"/>
  <c r="AY67" i="23"/>
  <c r="AW67" i="23"/>
  <c r="AQ67" i="23"/>
  <c r="BD75" i="23"/>
  <c r="AV75" i="23"/>
  <c r="AN75" i="23"/>
  <c r="BC75" i="23"/>
  <c r="AU75" i="23"/>
  <c r="AM75" i="23"/>
  <c r="BB75" i="23"/>
  <c r="AT75" i="23"/>
  <c r="AL75" i="23"/>
  <c r="BA75" i="23"/>
  <c r="AS75" i="23"/>
  <c r="AK75" i="23"/>
  <c r="AX75" i="23"/>
  <c r="AW75" i="23"/>
  <c r="P75" i="23"/>
  <c r="AR75" i="23"/>
  <c r="AQ75" i="23"/>
  <c r="AP75" i="23"/>
  <c r="AZ75" i="23"/>
  <c r="AJ75" i="23"/>
  <c r="AY75" i="23"/>
  <c r="AO75" i="23"/>
  <c r="AI75" i="23"/>
  <c r="BC83" i="23"/>
  <c r="AU83" i="23"/>
  <c r="AM83" i="23"/>
  <c r="BB83" i="23"/>
  <c r="AT83" i="23"/>
  <c r="AL83" i="23"/>
  <c r="BA83" i="23"/>
  <c r="AS83" i="23"/>
  <c r="AK83" i="23"/>
  <c r="AZ83" i="23"/>
  <c r="AR83" i="23"/>
  <c r="AJ83" i="23"/>
  <c r="AW83" i="23"/>
  <c r="AO83" i="23"/>
  <c r="AV83" i="23"/>
  <c r="AQ83" i="23"/>
  <c r="AP83" i="23"/>
  <c r="AN83" i="23"/>
  <c r="BD83" i="23"/>
  <c r="AY83" i="23"/>
  <c r="AI83" i="23"/>
  <c r="AX83" i="23"/>
  <c r="BC91" i="23"/>
  <c r="AU91" i="23"/>
  <c r="AM91" i="23"/>
  <c r="BB91" i="23"/>
  <c r="AT91" i="23"/>
  <c r="AL91" i="23"/>
  <c r="BA91" i="23"/>
  <c r="AS91" i="23"/>
  <c r="AK91" i="23"/>
  <c r="AZ91" i="23"/>
  <c r="AR91" i="23"/>
  <c r="AJ91" i="23"/>
  <c r="AW91" i="23"/>
  <c r="AO91" i="23"/>
  <c r="AI91" i="23"/>
  <c r="BD91" i="23"/>
  <c r="AY91" i="23"/>
  <c r="AX91" i="23"/>
  <c r="AV91" i="23"/>
  <c r="AQ91" i="23"/>
  <c r="AP91" i="23"/>
  <c r="AN91" i="23"/>
  <c r="BA99" i="23"/>
  <c r="AS99" i="23"/>
  <c r="AK99" i="23"/>
  <c r="AZ99" i="23"/>
  <c r="AR99" i="23"/>
  <c r="AJ99" i="23"/>
  <c r="AY99" i="23"/>
  <c r="AQ99" i="23"/>
  <c r="AI99" i="23"/>
  <c r="AX99" i="23"/>
  <c r="AP99" i="23"/>
  <c r="AW99" i="23"/>
  <c r="AO99" i="23"/>
  <c r="BD99" i="23"/>
  <c r="AV99" i="23"/>
  <c r="AN99" i="23"/>
  <c r="BB99" i="23"/>
  <c r="AU99" i="23"/>
  <c r="AT99" i="23"/>
  <c r="AM99" i="23"/>
  <c r="BC99" i="23"/>
  <c r="AL99" i="23"/>
  <c r="AY60" i="23"/>
  <c r="AQ60" i="23"/>
  <c r="AI60" i="23"/>
  <c r="AX60" i="23"/>
  <c r="AP60" i="23"/>
  <c r="BB60" i="23"/>
  <c r="AT60" i="23"/>
  <c r="AL60" i="23"/>
  <c r="AS60" i="23"/>
  <c r="BD60" i="23"/>
  <c r="AR60" i="23"/>
  <c r="BC60" i="23"/>
  <c r="AO60" i="23"/>
  <c r="BA60" i="23"/>
  <c r="AN60" i="23"/>
  <c r="AZ60" i="23"/>
  <c r="AM60" i="23"/>
  <c r="AW60" i="23"/>
  <c r="AK60" i="23"/>
  <c r="AZ68" i="23"/>
  <c r="AR68" i="23"/>
  <c r="AJ68" i="23"/>
  <c r="AY68" i="23"/>
  <c r="AQ68" i="23"/>
  <c r="AI68" i="23"/>
  <c r="AX68" i="23"/>
  <c r="AP68" i="23"/>
  <c r="AW68" i="23"/>
  <c r="AO68" i="23"/>
  <c r="BD68" i="23"/>
  <c r="AV68" i="23"/>
  <c r="AN68" i="23"/>
  <c r="BB68" i="23"/>
  <c r="AT68" i="23"/>
  <c r="AL68" i="23"/>
  <c r="BA68" i="23"/>
  <c r="AU68" i="23"/>
  <c r="AS68" i="23"/>
  <c r="AM68" i="23"/>
  <c r="AK68" i="23"/>
  <c r="AZ76" i="23"/>
  <c r="AR76" i="23"/>
  <c r="AJ76" i="23"/>
  <c r="AY76" i="23"/>
  <c r="AQ76" i="23"/>
  <c r="AI76" i="23"/>
  <c r="R76" i="23"/>
  <c r="AX76" i="23"/>
  <c r="AP76" i="23"/>
  <c r="AW76" i="23"/>
  <c r="AO76" i="23"/>
  <c r="P76" i="23"/>
  <c r="BB76" i="23"/>
  <c r="AL76" i="23"/>
  <c r="BA76" i="23"/>
  <c r="AK76" i="23"/>
  <c r="AV76" i="23"/>
  <c r="AU76" i="23"/>
  <c r="AT76" i="23"/>
  <c r="BD76" i="23"/>
  <c r="AN76" i="23"/>
  <c r="BC76" i="23"/>
  <c r="AS76" i="23"/>
  <c r="AY84" i="23"/>
  <c r="AQ84" i="23"/>
  <c r="AI84" i="23"/>
  <c r="AX84" i="23"/>
  <c r="AP84" i="23"/>
  <c r="AW84" i="23"/>
  <c r="AO84" i="23"/>
  <c r="BD84" i="23"/>
  <c r="AV84" i="23"/>
  <c r="AN84" i="23"/>
  <c r="BA84" i="23"/>
  <c r="AS84" i="23"/>
  <c r="AK84" i="23"/>
  <c r="AT84" i="23"/>
  <c r="AR84" i="23"/>
  <c r="AM84" i="23"/>
  <c r="AL84" i="23"/>
  <c r="BC84" i="23"/>
  <c r="BB84" i="23"/>
  <c r="AZ84" i="23"/>
  <c r="AJ84" i="23"/>
  <c r="AY92" i="23"/>
  <c r="AQ92" i="23"/>
  <c r="AI92" i="23"/>
  <c r="AX92" i="23"/>
  <c r="AP92" i="23"/>
  <c r="AW92" i="23"/>
  <c r="AO92" i="23"/>
  <c r="BD92" i="23"/>
  <c r="AV92" i="23"/>
  <c r="AN92" i="23"/>
  <c r="BA92" i="23"/>
  <c r="AS92" i="23"/>
  <c r="AK92" i="23"/>
  <c r="BC92" i="23"/>
  <c r="AJ92" i="23"/>
  <c r="BB92" i="23"/>
  <c r="AZ92" i="23"/>
  <c r="AU92" i="23"/>
  <c r="AT92" i="23"/>
  <c r="AR92" i="23"/>
  <c r="AM92" i="23"/>
  <c r="AW100" i="23"/>
  <c r="AO100" i="23"/>
  <c r="BD100" i="23"/>
  <c r="AV100" i="23"/>
  <c r="AN100" i="23"/>
  <c r="BC100" i="23"/>
  <c r="AU100" i="23"/>
  <c r="AM100" i="23"/>
  <c r="BB100" i="23"/>
  <c r="AT100" i="23"/>
  <c r="AL100" i="23"/>
  <c r="BA100" i="23"/>
  <c r="AS100" i="23"/>
  <c r="AK100" i="23"/>
  <c r="AZ100" i="23"/>
  <c r="AR100" i="23"/>
  <c r="AJ100" i="23"/>
  <c r="AP100" i="23"/>
  <c r="AI100" i="23"/>
  <c r="AX100" i="23"/>
  <c r="AY100" i="23"/>
  <c r="AQ100" i="23"/>
  <c r="AL59" i="23"/>
  <c r="AQ63" i="23"/>
  <c r="AI67" i="23"/>
  <c r="BC61" i="23"/>
  <c r="AU61" i="23"/>
  <c r="AM61" i="23"/>
  <c r="BB61" i="23"/>
  <c r="AT61" i="23"/>
  <c r="AL61" i="23"/>
  <c r="AX61" i="23"/>
  <c r="AP61" i="23"/>
  <c r="BD69" i="23"/>
  <c r="AV69" i="23"/>
  <c r="AN69" i="23"/>
  <c r="BC69" i="23"/>
  <c r="AU69" i="23"/>
  <c r="AM69" i="23"/>
  <c r="BB69" i="23"/>
  <c r="AT69" i="23"/>
  <c r="AL69" i="23"/>
  <c r="BA69" i="23"/>
  <c r="AS69" i="23"/>
  <c r="AK69" i="23"/>
  <c r="AZ69" i="23"/>
  <c r="AR69" i="23"/>
  <c r="AJ69" i="23"/>
  <c r="AX69" i="23"/>
  <c r="AP69" i="23"/>
  <c r="BD77" i="23"/>
  <c r="AV77" i="23"/>
  <c r="AN77" i="23"/>
  <c r="BC77" i="23"/>
  <c r="AU77" i="23"/>
  <c r="AM77" i="23"/>
  <c r="BB77" i="23"/>
  <c r="AT77" i="23"/>
  <c r="AL77" i="23"/>
  <c r="BA77" i="23"/>
  <c r="AS77" i="23"/>
  <c r="AK77" i="23"/>
  <c r="AP77" i="23"/>
  <c r="AO77" i="23"/>
  <c r="AZ77" i="23"/>
  <c r="AJ77" i="23"/>
  <c r="AY77" i="23"/>
  <c r="AI77" i="23"/>
  <c r="AX77" i="23"/>
  <c r="AR77" i="23"/>
  <c r="BC85" i="23"/>
  <c r="AU85" i="23"/>
  <c r="AM85" i="23"/>
  <c r="BB85" i="23"/>
  <c r="AT85" i="23"/>
  <c r="AL85" i="23"/>
  <c r="BA85" i="23"/>
  <c r="AS85" i="23"/>
  <c r="AK85" i="23"/>
  <c r="AZ85" i="23"/>
  <c r="AR85" i="23"/>
  <c r="AJ85" i="23"/>
  <c r="AW85" i="23"/>
  <c r="AO85" i="23"/>
  <c r="AQ85" i="23"/>
  <c r="AP85" i="23"/>
  <c r="AN85" i="23"/>
  <c r="AI85" i="23"/>
  <c r="BD85" i="23"/>
  <c r="AY85" i="23"/>
  <c r="AX85" i="23"/>
  <c r="BC93" i="23"/>
  <c r="AU93" i="23"/>
  <c r="AM93" i="23"/>
  <c r="BB93" i="23"/>
  <c r="AT93" i="23"/>
  <c r="AL93" i="23"/>
  <c r="BA93" i="23"/>
  <c r="AS93" i="23"/>
  <c r="AK93" i="23"/>
  <c r="AZ93" i="23"/>
  <c r="AR93" i="23"/>
  <c r="AJ93" i="23"/>
  <c r="AW93" i="23"/>
  <c r="AO93" i="23"/>
  <c r="BD93" i="23"/>
  <c r="AY93" i="23"/>
  <c r="AX93" i="23"/>
  <c r="AV93" i="23"/>
  <c r="AQ93" i="23"/>
  <c r="AP93" i="23"/>
  <c r="AN93" i="23"/>
  <c r="BA101" i="23"/>
  <c r="AS101" i="23"/>
  <c r="AK101" i="23"/>
  <c r="AZ101" i="23"/>
  <c r="AR101" i="23"/>
  <c r="AJ101" i="23"/>
  <c r="AY101" i="23"/>
  <c r="AQ101" i="23"/>
  <c r="AI101" i="23"/>
  <c r="AX101" i="23"/>
  <c r="AP101" i="23"/>
  <c r="AW101" i="23"/>
  <c r="AO101" i="23"/>
  <c r="BD101" i="23"/>
  <c r="AV101" i="23"/>
  <c r="AN101" i="23"/>
  <c r="BC101" i="23"/>
  <c r="BB101" i="23"/>
  <c r="AU101" i="23"/>
  <c r="AL101" i="23"/>
  <c r="AT101" i="23"/>
  <c r="AN57" i="23"/>
  <c r="AV57" i="23"/>
  <c r="BD57" i="23"/>
  <c r="AJ58" i="23"/>
  <c r="AR58" i="23"/>
  <c r="AZ58" i="23"/>
  <c r="AR61" i="23"/>
  <c r="AM62" i="23"/>
  <c r="AR64" i="23"/>
  <c r="AI65" i="23"/>
  <c r="BC66" i="23"/>
  <c r="AY69" i="23"/>
  <c r="AU72" i="23"/>
  <c r="AW73" i="23"/>
  <c r="AO79" i="23"/>
  <c r="P81" i="23"/>
  <c r="AP82" i="23"/>
  <c r="AV85" i="23"/>
  <c r="AI93" i="23"/>
  <c r="AC53" i="24"/>
  <c r="AB53" i="24"/>
  <c r="AF53" i="24"/>
  <c r="X53" i="24"/>
  <c r="Z53" i="24"/>
  <c r="Y53" i="24"/>
  <c r="AH53" i="24"/>
  <c r="AG53" i="24"/>
  <c r="AE53" i="24"/>
  <c r="AD53" i="24"/>
  <c r="AA53" i="24"/>
  <c r="AC61" i="24"/>
  <c r="AB61" i="24"/>
  <c r="AG61" i="24"/>
  <c r="Y61" i="24"/>
  <c r="AF61" i="24"/>
  <c r="X61" i="24"/>
  <c r="AA61" i="24"/>
  <c r="Z61" i="24"/>
  <c r="AH61" i="24"/>
  <c r="AE61" i="24"/>
  <c r="AD61" i="24"/>
  <c r="AC69" i="24"/>
  <c r="AB69" i="24"/>
  <c r="AG69" i="24"/>
  <c r="Y69" i="24"/>
  <c r="AF69" i="24"/>
  <c r="X69" i="24"/>
  <c r="AA69" i="24"/>
  <c r="Z69" i="24"/>
  <c r="AH69" i="24"/>
  <c r="AE69" i="24"/>
  <c r="AD69" i="24"/>
  <c r="AC77" i="24"/>
  <c r="AG77" i="24"/>
  <c r="X77" i="24"/>
  <c r="AF77" i="24"/>
  <c r="AE77" i="24"/>
  <c r="AD77" i="24"/>
  <c r="AB77" i="24"/>
  <c r="AA77" i="24"/>
  <c r="Z77" i="24"/>
  <c r="Y77" i="24"/>
  <c r="AH77" i="24"/>
  <c r="AE85" i="24"/>
  <c r="AD85" i="24"/>
  <c r="AC85" i="24"/>
  <c r="AA85" i="24"/>
  <c r="AG85" i="24"/>
  <c r="Y85" i="24"/>
  <c r="Z85" i="24"/>
  <c r="X85" i="24"/>
  <c r="AH85" i="24"/>
  <c r="AF85" i="24"/>
  <c r="AB85" i="24"/>
  <c r="AY62" i="23"/>
  <c r="AQ62" i="23"/>
  <c r="AI62" i="23"/>
  <c r="AX62" i="23"/>
  <c r="AP62" i="23"/>
  <c r="BB62" i="23"/>
  <c r="AT62" i="23"/>
  <c r="AL62" i="23"/>
  <c r="AZ70" i="23"/>
  <c r="AR70" i="23"/>
  <c r="AJ70" i="23"/>
  <c r="AY70" i="23"/>
  <c r="AQ70" i="23"/>
  <c r="AI70" i="23"/>
  <c r="AX70" i="23"/>
  <c r="AP70" i="23"/>
  <c r="AW70" i="23"/>
  <c r="AO70" i="23"/>
  <c r="BD70" i="23"/>
  <c r="AV70" i="23"/>
  <c r="AN70" i="23"/>
  <c r="BB70" i="23"/>
  <c r="AT70" i="23"/>
  <c r="AL70" i="23"/>
  <c r="AZ78" i="23"/>
  <c r="AR78" i="23"/>
  <c r="AJ78" i="23"/>
  <c r="AY78" i="23"/>
  <c r="AQ78" i="23"/>
  <c r="AI78" i="23"/>
  <c r="R78" i="23"/>
  <c r="AX78" i="23"/>
  <c r="AP78" i="23"/>
  <c r="AW78" i="23"/>
  <c r="AO78" i="23"/>
  <c r="P78" i="23"/>
  <c r="AT78" i="23"/>
  <c r="AS78" i="23"/>
  <c r="BD78" i="23"/>
  <c r="AN78" i="23"/>
  <c r="BC78" i="23"/>
  <c r="AM78" i="23"/>
  <c r="BB78" i="23"/>
  <c r="AL78" i="23"/>
  <c r="AV78" i="23"/>
  <c r="AY86" i="23"/>
  <c r="AQ86" i="23"/>
  <c r="AI86" i="23"/>
  <c r="AX86" i="23"/>
  <c r="AP86" i="23"/>
  <c r="AW86" i="23"/>
  <c r="AO86" i="23"/>
  <c r="BD86" i="23"/>
  <c r="AV86" i="23"/>
  <c r="AN86" i="23"/>
  <c r="BA86" i="23"/>
  <c r="AS86" i="23"/>
  <c r="AK86" i="23"/>
  <c r="AR86" i="23"/>
  <c r="AM86" i="23"/>
  <c r="AL86" i="23"/>
  <c r="BC86" i="23"/>
  <c r="AJ86" i="23"/>
  <c r="BB86" i="23"/>
  <c r="AZ86" i="23"/>
  <c r="AU86" i="23"/>
  <c r="AY94" i="23"/>
  <c r="AQ94" i="23"/>
  <c r="AI94" i="23"/>
  <c r="AX94" i="23"/>
  <c r="AP94" i="23"/>
  <c r="AW94" i="23"/>
  <c r="AO94" i="23"/>
  <c r="BD94" i="23"/>
  <c r="AV94" i="23"/>
  <c r="AN94" i="23"/>
  <c r="BA94" i="23"/>
  <c r="AS94" i="23"/>
  <c r="AK94" i="23"/>
  <c r="BB94" i="23"/>
  <c r="AZ94" i="23"/>
  <c r="AU94" i="23"/>
  <c r="AT94" i="23"/>
  <c r="BC94" i="23"/>
  <c r="AR94" i="23"/>
  <c r="AM94" i="23"/>
  <c r="AL94" i="23"/>
  <c r="AW102" i="23"/>
  <c r="AO102" i="23"/>
  <c r="BD102" i="23"/>
  <c r="AV102" i="23"/>
  <c r="AN102" i="23"/>
  <c r="BC102" i="23"/>
  <c r="AU102" i="23"/>
  <c r="AM102" i="23"/>
  <c r="BB102" i="23"/>
  <c r="AT102" i="23"/>
  <c r="AL102" i="23"/>
  <c r="BA102" i="23"/>
  <c r="AS102" i="23"/>
  <c r="AK102" i="23"/>
  <c r="AZ102" i="23"/>
  <c r="AR102" i="23"/>
  <c r="AJ102" i="23"/>
  <c r="AX102" i="23"/>
  <c r="AQ102" i="23"/>
  <c r="AP102" i="23"/>
  <c r="AI102" i="23"/>
  <c r="AY102" i="23"/>
  <c r="AO57" i="23"/>
  <c r="AW57" i="23"/>
  <c r="AK58" i="23"/>
  <c r="AS58" i="23"/>
  <c r="BA58" i="23"/>
  <c r="AS61" i="23"/>
  <c r="AN62" i="23"/>
  <c r="BA62" i="23"/>
  <c r="AS64" i="23"/>
  <c r="AO65" i="23"/>
  <c r="AS70" i="23"/>
  <c r="BA72" i="23"/>
  <c r="AM101" i="23"/>
  <c r="BD71" i="23"/>
  <c r="AV71" i="23"/>
  <c r="AN71" i="23"/>
  <c r="BC71" i="23"/>
  <c r="AU71" i="23"/>
  <c r="AM71" i="23"/>
  <c r="BB71" i="23"/>
  <c r="AT71" i="23"/>
  <c r="AL71" i="23"/>
  <c r="BA71" i="23"/>
  <c r="AS71" i="23"/>
  <c r="AK71" i="23"/>
  <c r="AZ71" i="23"/>
  <c r="AR71" i="23"/>
  <c r="AJ71" i="23"/>
  <c r="AX71" i="23"/>
  <c r="AP71" i="23"/>
  <c r="BD79" i="23"/>
  <c r="AV79" i="23"/>
  <c r="AN79" i="23"/>
  <c r="BC79" i="23"/>
  <c r="AU79" i="23"/>
  <c r="AM79" i="23"/>
  <c r="BB79" i="23"/>
  <c r="AT79" i="23"/>
  <c r="AL79" i="23"/>
  <c r="BA79" i="23"/>
  <c r="AS79" i="23"/>
  <c r="AK79" i="23"/>
  <c r="AX79" i="23"/>
  <c r="AW79" i="23"/>
  <c r="P79" i="23"/>
  <c r="AR79" i="23"/>
  <c r="AQ79" i="23"/>
  <c r="AP79" i="23"/>
  <c r="AZ79" i="23"/>
  <c r="AJ79" i="23"/>
  <c r="BC87" i="23"/>
  <c r="AU87" i="23"/>
  <c r="AM87" i="23"/>
  <c r="BB87" i="23"/>
  <c r="AT87" i="23"/>
  <c r="AL87" i="23"/>
  <c r="BA87" i="23"/>
  <c r="AS87" i="23"/>
  <c r="AK87" i="23"/>
  <c r="AZ87" i="23"/>
  <c r="AR87" i="23"/>
  <c r="AJ87" i="23"/>
  <c r="AW87" i="23"/>
  <c r="AO87" i="23"/>
  <c r="AP87" i="23"/>
  <c r="AN87" i="23"/>
  <c r="AI87" i="23"/>
  <c r="BD87" i="23"/>
  <c r="AY87" i="23"/>
  <c r="AX87" i="23"/>
  <c r="AV87" i="23"/>
  <c r="BC95" i="23"/>
  <c r="AU95" i="23"/>
  <c r="AM95" i="23"/>
  <c r="BB95" i="23"/>
  <c r="AT95" i="23"/>
  <c r="AL95" i="23"/>
  <c r="BA95" i="23"/>
  <c r="AS95" i="23"/>
  <c r="AK95" i="23"/>
  <c r="AZ95" i="23"/>
  <c r="AR95" i="23"/>
  <c r="AJ95" i="23"/>
  <c r="AW95" i="23"/>
  <c r="AO95" i="23"/>
  <c r="AY95" i="23"/>
  <c r="AX95" i="23"/>
  <c r="AV95" i="23"/>
  <c r="AQ95" i="23"/>
  <c r="BD95" i="23"/>
  <c r="AP95" i="23"/>
  <c r="AN95" i="23"/>
  <c r="AI95" i="23"/>
  <c r="BA103" i="23"/>
  <c r="AS103" i="23"/>
  <c r="AK103" i="23"/>
  <c r="AZ103" i="23"/>
  <c r="AR103" i="23"/>
  <c r="AJ103" i="23"/>
  <c r="AY103" i="23"/>
  <c r="AQ103" i="23"/>
  <c r="AI103" i="23"/>
  <c r="AX103" i="23"/>
  <c r="AP103" i="23"/>
  <c r="AW103" i="23"/>
  <c r="AO103" i="23"/>
  <c r="BD103" i="23"/>
  <c r="AV103" i="23"/>
  <c r="AN103" i="23"/>
  <c r="AL103" i="23"/>
  <c r="BC103" i="23"/>
  <c r="AT103" i="23"/>
  <c r="BB103" i="23"/>
  <c r="AU103" i="23"/>
  <c r="AM103" i="23"/>
  <c r="AP57" i="23"/>
  <c r="AX57" i="23"/>
  <c r="AL58" i="23"/>
  <c r="AT58" i="23"/>
  <c r="BB58" i="23"/>
  <c r="AI61" i="23"/>
  <c r="AV61" i="23"/>
  <c r="AO62" i="23"/>
  <c r="BC62" i="23"/>
  <c r="AQ65" i="23"/>
  <c r="AU70" i="23"/>
  <c r="AI71" i="23"/>
  <c r="AK78" i="23"/>
  <c r="AT86" i="23"/>
  <c r="AJ94" i="23"/>
  <c r="AY64" i="23"/>
  <c r="AQ64" i="23"/>
  <c r="AI64" i="23"/>
  <c r="AX64" i="23"/>
  <c r="AP64" i="23"/>
  <c r="AW64" i="23"/>
  <c r="AO64" i="23"/>
  <c r="BB64" i="23"/>
  <c r="AT64" i="23"/>
  <c r="AL64" i="23"/>
  <c r="AZ72" i="23"/>
  <c r="AR72" i="23"/>
  <c r="AJ72" i="23"/>
  <c r="AY72" i="23"/>
  <c r="AQ72" i="23"/>
  <c r="AI72" i="23"/>
  <c r="AX72" i="23"/>
  <c r="AP72" i="23"/>
  <c r="AW72" i="23"/>
  <c r="AO72" i="23"/>
  <c r="BD72" i="23"/>
  <c r="AV72" i="23"/>
  <c r="AN72" i="23"/>
  <c r="BB72" i="23"/>
  <c r="AT72" i="23"/>
  <c r="AL72" i="23"/>
  <c r="AZ80" i="23"/>
  <c r="AR80" i="23"/>
  <c r="AJ80" i="23"/>
  <c r="AY80" i="23"/>
  <c r="AQ80" i="23"/>
  <c r="AI80" i="23"/>
  <c r="R80" i="23"/>
  <c r="AX80" i="23"/>
  <c r="AP80" i="23"/>
  <c r="AW80" i="23"/>
  <c r="AO80" i="23"/>
  <c r="P80" i="23"/>
  <c r="BB80" i="23"/>
  <c r="AL80" i="23"/>
  <c r="BA80" i="23"/>
  <c r="AK80" i="23"/>
  <c r="AV80" i="23"/>
  <c r="AU80" i="23"/>
  <c r="AT80" i="23"/>
  <c r="BD80" i="23"/>
  <c r="AN80" i="23"/>
  <c r="AY88" i="23"/>
  <c r="AQ88" i="23"/>
  <c r="AI88" i="23"/>
  <c r="AX88" i="23"/>
  <c r="AP88" i="23"/>
  <c r="AW88" i="23"/>
  <c r="AO88" i="23"/>
  <c r="BD88" i="23"/>
  <c r="AV88" i="23"/>
  <c r="AN88" i="23"/>
  <c r="BA88" i="23"/>
  <c r="AS88" i="23"/>
  <c r="AK88" i="23"/>
  <c r="AM88" i="23"/>
  <c r="AL88" i="23"/>
  <c r="BC88" i="23"/>
  <c r="AJ88" i="23"/>
  <c r="BB88" i="23"/>
  <c r="AZ88" i="23"/>
  <c r="AU88" i="23"/>
  <c r="AT88" i="23"/>
  <c r="BC96" i="23"/>
  <c r="AU96" i="23"/>
  <c r="AM96" i="23"/>
  <c r="BB96" i="23"/>
  <c r="BA96" i="23"/>
  <c r="AS96" i="23"/>
  <c r="AZ96" i="23"/>
  <c r="AR96" i="23"/>
  <c r="AT96" i="23"/>
  <c r="AI96" i="23"/>
  <c r="AQ96" i="23"/>
  <c r="AP96" i="23"/>
  <c r="BD96" i="23"/>
  <c r="AO96" i="23"/>
  <c r="AW96" i="23"/>
  <c r="AK96" i="23"/>
  <c r="AY96" i="23"/>
  <c r="AX96" i="23"/>
  <c r="AV96" i="23"/>
  <c r="AN96" i="23"/>
  <c r="AL96" i="23"/>
  <c r="AJ96" i="23"/>
  <c r="AI57" i="23"/>
  <c r="AQ57" i="23"/>
  <c r="AY57" i="23"/>
  <c r="AM58" i="23"/>
  <c r="AU58" i="23"/>
  <c r="BC58" i="23"/>
  <c r="AJ61" i="23"/>
  <c r="AW61" i="23"/>
  <c r="AR62" i="23"/>
  <c r="BD62" i="23"/>
  <c r="AV64" i="23"/>
  <c r="AK66" i="23"/>
  <c r="BA70" i="23"/>
  <c r="AO71" i="23"/>
  <c r="AU78" i="23"/>
  <c r="BD65" i="23"/>
  <c r="AV65" i="23"/>
  <c r="AN65" i="23"/>
  <c r="BC65" i="23"/>
  <c r="AU65" i="23"/>
  <c r="AM65" i="23"/>
  <c r="BB65" i="23"/>
  <c r="AT65" i="23"/>
  <c r="AL65" i="23"/>
  <c r="BA65" i="23"/>
  <c r="AS65" i="23"/>
  <c r="AK65" i="23"/>
  <c r="AZ65" i="23"/>
  <c r="AR65" i="23"/>
  <c r="AJ65" i="23"/>
  <c r="AX65" i="23"/>
  <c r="AP65" i="23"/>
  <c r="BD73" i="23"/>
  <c r="AV73" i="23"/>
  <c r="AN73" i="23"/>
  <c r="BC73" i="23"/>
  <c r="AU73" i="23"/>
  <c r="AM73" i="23"/>
  <c r="BB73" i="23"/>
  <c r="AT73" i="23"/>
  <c r="AL73" i="23"/>
  <c r="BA73" i="23"/>
  <c r="AS73" i="23"/>
  <c r="AK73" i="23"/>
  <c r="AP73" i="23"/>
  <c r="AO73" i="23"/>
  <c r="AZ73" i="23"/>
  <c r="AJ73" i="23"/>
  <c r="AY73" i="23"/>
  <c r="AI73" i="23"/>
  <c r="AX73" i="23"/>
  <c r="AR73" i="23"/>
  <c r="BD81" i="23"/>
  <c r="AV81" i="23"/>
  <c r="AN81" i="23"/>
  <c r="BC81" i="23"/>
  <c r="AU81" i="23"/>
  <c r="AM81" i="23"/>
  <c r="BB81" i="23"/>
  <c r="AT81" i="23"/>
  <c r="AL81" i="23"/>
  <c r="BA81" i="23"/>
  <c r="AS81" i="23"/>
  <c r="AK81" i="23"/>
  <c r="AP81" i="23"/>
  <c r="AO81" i="23"/>
  <c r="AZ81" i="23"/>
  <c r="AJ81" i="23"/>
  <c r="AY81" i="23"/>
  <c r="AI81" i="23"/>
  <c r="R81" i="23"/>
  <c r="AX81" i="23"/>
  <c r="AR81" i="23"/>
  <c r="BC89" i="23"/>
  <c r="AU89" i="23"/>
  <c r="AM89" i="23"/>
  <c r="BB89" i="23"/>
  <c r="AT89" i="23"/>
  <c r="AL89" i="23"/>
  <c r="BA89" i="23"/>
  <c r="AS89" i="23"/>
  <c r="AK89" i="23"/>
  <c r="AZ89" i="23"/>
  <c r="AR89" i="23"/>
  <c r="AJ89" i="23"/>
  <c r="AW89" i="23"/>
  <c r="AO89" i="23"/>
  <c r="AN89" i="23"/>
  <c r="AI89" i="23"/>
  <c r="BD89" i="23"/>
  <c r="AY89" i="23"/>
  <c r="AX89" i="23"/>
  <c r="AV89" i="23"/>
  <c r="AQ89" i="23"/>
  <c r="BA97" i="23"/>
  <c r="AS97" i="23"/>
  <c r="AK97" i="23"/>
  <c r="AZ97" i="23"/>
  <c r="AR97" i="23"/>
  <c r="AJ97" i="23"/>
  <c r="AY97" i="23"/>
  <c r="AQ97" i="23"/>
  <c r="AI97" i="23"/>
  <c r="AX97" i="23"/>
  <c r="AP97" i="23"/>
  <c r="AW97" i="23"/>
  <c r="AO97" i="23"/>
  <c r="BD97" i="23"/>
  <c r="AV97" i="23"/>
  <c r="AN97" i="23"/>
  <c r="AT97" i="23"/>
  <c r="AM97" i="23"/>
  <c r="AL97" i="23"/>
  <c r="BB97" i="23"/>
  <c r="BC97" i="23"/>
  <c r="AJ57" i="23"/>
  <c r="AR57" i="23"/>
  <c r="K8" i="25" s="1"/>
  <c r="AZ57" i="23"/>
  <c r="AN58" i="23"/>
  <c r="AV58" i="23"/>
  <c r="BD58" i="23"/>
  <c r="AK61" i="23"/>
  <c r="AY61" i="23"/>
  <c r="AS62" i="23"/>
  <c r="AJ64" i="23"/>
  <c r="AZ64" i="23"/>
  <c r="AY65" i="23"/>
  <c r="AI69" i="23"/>
  <c r="BC70" i="23"/>
  <c r="AQ71" i="23"/>
  <c r="R73" i="23"/>
  <c r="BA78" i="23"/>
  <c r="AW81" i="23"/>
  <c r="AQ87" i="23"/>
  <c r="AZ66" i="23"/>
  <c r="AR66" i="23"/>
  <c r="AJ66" i="23"/>
  <c r="AY66" i="23"/>
  <c r="AQ66" i="23"/>
  <c r="AI66" i="23"/>
  <c r="AX66" i="23"/>
  <c r="AP66" i="23"/>
  <c r="AW66" i="23"/>
  <c r="AO66" i="23"/>
  <c r="BD66" i="23"/>
  <c r="AV66" i="23"/>
  <c r="AN66" i="23"/>
  <c r="BB66" i="23"/>
  <c r="AT66" i="23"/>
  <c r="AL66" i="23"/>
  <c r="AZ74" i="23"/>
  <c r="AR74" i="23"/>
  <c r="AJ74" i="23"/>
  <c r="AY74" i="23"/>
  <c r="AQ74" i="23"/>
  <c r="AI74" i="23"/>
  <c r="R74" i="23"/>
  <c r="AX74" i="23"/>
  <c r="AP74" i="23"/>
  <c r="AW74" i="23"/>
  <c r="AO74" i="23"/>
  <c r="P74" i="23"/>
  <c r="AT74" i="23"/>
  <c r="AS74" i="23"/>
  <c r="BD74" i="23"/>
  <c r="AN74" i="23"/>
  <c r="BC74" i="23"/>
  <c r="AM74" i="23"/>
  <c r="BB74" i="23"/>
  <c r="AL74" i="23"/>
  <c r="AV74" i="23"/>
  <c r="AW82" i="23"/>
  <c r="AO82" i="23"/>
  <c r="BD82" i="23"/>
  <c r="AV82" i="23"/>
  <c r="AN82" i="23"/>
  <c r="AY82" i="23"/>
  <c r="AM82" i="23"/>
  <c r="AX82" i="23"/>
  <c r="AL82" i="23"/>
  <c r="AU82" i="23"/>
  <c r="AK82" i="23"/>
  <c r="AT82" i="23"/>
  <c r="AJ82" i="23"/>
  <c r="BA82" i="23"/>
  <c r="AZ82" i="23"/>
  <c r="AS82" i="23"/>
  <c r="AR82" i="23"/>
  <c r="AQ82" i="23"/>
  <c r="BC82" i="23"/>
  <c r="AI82" i="23"/>
  <c r="AY90" i="23"/>
  <c r="AQ90" i="23"/>
  <c r="AI90" i="23"/>
  <c r="AX90" i="23"/>
  <c r="AP90" i="23"/>
  <c r="AW90" i="23"/>
  <c r="AO90" i="23"/>
  <c r="BD90" i="23"/>
  <c r="AV90" i="23"/>
  <c r="AN90" i="23"/>
  <c r="BA90" i="23"/>
  <c r="AS90" i="23"/>
  <c r="AK90" i="23"/>
  <c r="AL90" i="23"/>
  <c r="BC90" i="23"/>
  <c r="AJ90" i="23"/>
  <c r="BB90" i="23"/>
  <c r="AZ90" i="23"/>
  <c r="AU90" i="23"/>
  <c r="AT90" i="23"/>
  <c r="AR90" i="23"/>
  <c r="AW98" i="23"/>
  <c r="AO98" i="23"/>
  <c r="BD98" i="23"/>
  <c r="AV98" i="23"/>
  <c r="AN98" i="23"/>
  <c r="BC98" i="23"/>
  <c r="AU98" i="23"/>
  <c r="AM98" i="23"/>
  <c r="BB98" i="23"/>
  <c r="AT98" i="23"/>
  <c r="AL98" i="23"/>
  <c r="BA98" i="23"/>
  <c r="AS98" i="23"/>
  <c r="AK98" i="23"/>
  <c r="AZ98" i="23"/>
  <c r="AR98" i="23"/>
  <c r="AJ98" i="23"/>
  <c r="AY98" i="23"/>
  <c r="AP98" i="23"/>
  <c r="AX98" i="23"/>
  <c r="AQ98" i="23"/>
  <c r="AI98" i="23"/>
  <c r="AK57" i="23"/>
  <c r="AS57" i="23"/>
  <c r="AO58" i="23"/>
  <c r="AN61" i="23"/>
  <c r="AZ61" i="23"/>
  <c r="AU62" i="23"/>
  <c r="AK64" i="23"/>
  <c r="BA64" i="23"/>
  <c r="AS66" i="23"/>
  <c r="AO69" i="23"/>
  <c r="AW71" i="23"/>
  <c r="AK72" i="23"/>
  <c r="AU74" i="23"/>
  <c r="AQ77" i="23"/>
  <c r="R79" i="23"/>
  <c r="AM80" i="23"/>
  <c r="AE54" i="24"/>
  <c r="AD54" i="24"/>
  <c r="AH54" i="24"/>
  <c r="Z54" i="24"/>
  <c r="AC54" i="24"/>
  <c r="AB54" i="24"/>
  <c r="AA54" i="24"/>
  <c r="Y54" i="24"/>
  <c r="X54" i="24"/>
  <c r="AG54" i="24"/>
  <c r="AF54" i="24"/>
  <c r="AE62" i="24"/>
  <c r="AD62" i="24"/>
  <c r="AA62" i="24"/>
  <c r="AH62" i="24"/>
  <c r="Z62" i="24"/>
  <c r="AG62" i="24"/>
  <c r="AF62" i="24"/>
  <c r="AC62" i="24"/>
  <c r="AB62" i="24"/>
  <c r="Y62" i="24"/>
  <c r="X62" i="24"/>
  <c r="AE70" i="24"/>
  <c r="AD70" i="24"/>
  <c r="AA70" i="24"/>
  <c r="AH70" i="24"/>
  <c r="Z70" i="24"/>
  <c r="AG70" i="24"/>
  <c r="AF70" i="24"/>
  <c r="AC70" i="24"/>
  <c r="AB70" i="24"/>
  <c r="Y70" i="24"/>
  <c r="X70" i="24"/>
  <c r="AE78" i="24"/>
  <c r="AA78" i="24"/>
  <c r="AD78" i="24"/>
  <c r="AC78" i="24"/>
  <c r="AB78" i="24"/>
  <c r="Z78" i="24"/>
  <c r="Y78" i="24"/>
  <c r="AH78" i="24"/>
  <c r="X78" i="24"/>
  <c r="AG78" i="24"/>
  <c r="AF78" i="24"/>
  <c r="Z48" i="24"/>
  <c r="AH48" i="24"/>
  <c r="AB49" i="24"/>
  <c r="AD50" i="24"/>
  <c r="AH51" i="24"/>
  <c r="X52" i="24"/>
  <c r="AB56" i="24"/>
  <c r="AF58" i="24"/>
  <c r="Z59" i="24"/>
  <c r="AH63" i="24"/>
  <c r="AB64" i="24"/>
  <c r="AF66" i="24"/>
  <c r="Z67" i="24"/>
  <c r="AB75" i="24"/>
  <c r="AA48" i="24"/>
  <c r="AC49" i="24"/>
  <c r="AF50" i="24"/>
  <c r="Y52" i="24"/>
  <c r="AC56" i="24"/>
  <c r="AG58" i="24"/>
  <c r="AA59" i="24"/>
  <c r="AC64" i="24"/>
  <c r="AG66" i="24"/>
  <c r="AA67" i="24"/>
  <c r="Y72" i="24"/>
  <c r="AF75" i="24"/>
  <c r="AG55" i="24"/>
  <c r="Y55" i="24"/>
  <c r="AF55" i="24"/>
  <c r="X55" i="24"/>
  <c r="AB55" i="24"/>
  <c r="AG63" i="24"/>
  <c r="Y63" i="24"/>
  <c r="AF63" i="24"/>
  <c r="X63" i="24"/>
  <c r="AC63" i="24"/>
  <c r="AB63" i="24"/>
  <c r="AG71" i="24"/>
  <c r="Y71" i="24"/>
  <c r="AA71" i="24"/>
  <c r="Z71" i="24"/>
  <c r="AF71" i="24"/>
  <c r="AE71" i="24"/>
  <c r="AD71" i="24"/>
  <c r="AA79" i="24"/>
  <c r="AG79" i="24"/>
  <c r="Y79" i="24"/>
  <c r="AC79" i="24"/>
  <c r="AE79" i="24"/>
  <c r="AD79" i="24"/>
  <c r="AB79" i="24"/>
  <c r="Z79" i="24"/>
  <c r="X79" i="24"/>
  <c r="AH79" i="24"/>
  <c r="AB48" i="24"/>
  <c r="F8" i="26" s="1"/>
  <c r="AD49" i="24"/>
  <c r="H8" i="26" s="1"/>
  <c r="X50" i="24"/>
  <c r="AG50" i="24"/>
  <c r="AB52" i="24"/>
  <c r="Z55" i="24"/>
  <c r="Z57" i="24"/>
  <c r="AD59" i="24"/>
  <c r="X60" i="24"/>
  <c r="Z65" i="24"/>
  <c r="AD67" i="24"/>
  <c r="X68" i="24"/>
  <c r="AA56" i="24"/>
  <c r="AH56" i="24"/>
  <c r="Z56" i="24"/>
  <c r="AE56" i="24"/>
  <c r="AD56" i="24"/>
  <c r="AA64" i="24"/>
  <c r="AH64" i="24"/>
  <c r="Z64" i="24"/>
  <c r="AE64" i="24"/>
  <c r="AD64" i="24"/>
  <c r="AA72" i="24"/>
  <c r="AG72" i="24"/>
  <c r="X72" i="24"/>
  <c r="AF72" i="24"/>
  <c r="AE72" i="24"/>
  <c r="AC72" i="24"/>
  <c r="AB72" i="24"/>
  <c r="Z72" i="24"/>
  <c r="AC80" i="24"/>
  <c r="AA80" i="24"/>
  <c r="AE80" i="24"/>
  <c r="AH80" i="24"/>
  <c r="AG80" i="24"/>
  <c r="AF80" i="24"/>
  <c r="AD80" i="24"/>
  <c r="AB80" i="24"/>
  <c r="Z80" i="24"/>
  <c r="Y80" i="24"/>
  <c r="AC48" i="24"/>
  <c r="AE49" i="24"/>
  <c r="I8" i="26" s="1"/>
  <c r="Y50" i="24"/>
  <c r="Z51" i="24"/>
  <c r="AC52" i="24"/>
  <c r="AA55" i="24"/>
  <c r="AG56" i="24"/>
  <c r="AE59" i="24"/>
  <c r="Y60" i="24"/>
  <c r="AG64" i="24"/>
  <c r="AE67" i="24"/>
  <c r="Y68" i="24"/>
  <c r="X71" i="24"/>
  <c r="AH72" i="24"/>
  <c r="AA74" i="24"/>
  <c r="AC57" i="24"/>
  <c r="AB57" i="24"/>
  <c r="AG57" i="24"/>
  <c r="Y57" i="24"/>
  <c r="AF57" i="24"/>
  <c r="X57" i="24"/>
  <c r="AC65" i="24"/>
  <c r="AB65" i="24"/>
  <c r="AG65" i="24"/>
  <c r="Y65" i="24"/>
  <c r="AF65" i="24"/>
  <c r="X65" i="24"/>
  <c r="AC73" i="24"/>
  <c r="AD73" i="24"/>
  <c r="AB73" i="24"/>
  <c r="AA73" i="24"/>
  <c r="AH73" i="24"/>
  <c r="Y73" i="24"/>
  <c r="AG73" i="24"/>
  <c r="X73" i="24"/>
  <c r="AF73" i="24"/>
  <c r="AE81" i="24"/>
  <c r="AC81" i="24"/>
  <c r="AG81" i="24"/>
  <c r="Y81" i="24"/>
  <c r="Z81" i="24"/>
  <c r="X81" i="24"/>
  <c r="AH81" i="24"/>
  <c r="AF81" i="24"/>
  <c r="AD81" i="24"/>
  <c r="AB81" i="24"/>
  <c r="AD48" i="24"/>
  <c r="X49" i="24"/>
  <c r="AF49" i="24"/>
  <c r="AA51" i="24"/>
  <c r="AE52" i="24"/>
  <c r="AC55" i="24"/>
  <c r="AD57" i="24"/>
  <c r="AH59" i="24"/>
  <c r="AB60" i="24"/>
  <c r="Z63" i="24"/>
  <c r="AD65" i="24"/>
  <c r="AH67" i="24"/>
  <c r="AB68" i="24"/>
  <c r="AB71" i="24"/>
  <c r="X76" i="24"/>
  <c r="AF79" i="24"/>
  <c r="AE50" i="24"/>
  <c r="AH50" i="24"/>
  <c r="AE58" i="24"/>
  <c r="AD58" i="24"/>
  <c r="AA58" i="24"/>
  <c r="AH58" i="24"/>
  <c r="Z58" i="24"/>
  <c r="AE66" i="24"/>
  <c r="AD66" i="24"/>
  <c r="AA66" i="24"/>
  <c r="AH66" i="24"/>
  <c r="Z66" i="24"/>
  <c r="AE74" i="24"/>
  <c r="Z74" i="24"/>
  <c r="AH74" i="24"/>
  <c r="Y74" i="24"/>
  <c r="AG74" i="24"/>
  <c r="X74" i="24"/>
  <c r="AD74" i="24"/>
  <c r="AC74" i="24"/>
  <c r="AB74" i="24"/>
  <c r="AG82" i="24"/>
  <c r="Y82" i="24"/>
  <c r="AE82" i="24"/>
  <c r="AC82" i="24"/>
  <c r="AA82" i="24"/>
  <c r="AH82" i="24"/>
  <c r="AF82" i="24"/>
  <c r="AD82" i="24"/>
  <c r="AB82" i="24"/>
  <c r="Z82" i="24"/>
  <c r="X82" i="24"/>
  <c r="AE48" i="24"/>
  <c r="Y49" i="24"/>
  <c r="AG49" i="24"/>
  <c r="AA50" i="24"/>
  <c r="E8" i="26" s="1"/>
  <c r="AF52" i="24"/>
  <c r="AD55" i="24"/>
  <c r="AE57" i="24"/>
  <c r="Y58" i="24"/>
  <c r="AC60" i="24"/>
  <c r="AA63" i="24"/>
  <c r="AE65" i="24"/>
  <c r="Y66" i="24"/>
  <c r="AC68" i="24"/>
  <c r="AC71" i="24"/>
  <c r="X80" i="24"/>
  <c r="AG51" i="24"/>
  <c r="Y51" i="24"/>
  <c r="AF51" i="24"/>
  <c r="X51" i="24"/>
  <c r="AB51" i="24"/>
  <c r="AG59" i="24"/>
  <c r="Y59" i="24"/>
  <c r="AF59" i="24"/>
  <c r="X59" i="24"/>
  <c r="AC59" i="24"/>
  <c r="AB59" i="24"/>
  <c r="AG67" i="24"/>
  <c r="Y67" i="24"/>
  <c r="AF67" i="24"/>
  <c r="X67" i="24"/>
  <c r="AC67" i="24"/>
  <c r="AB67" i="24"/>
  <c r="AG75" i="24"/>
  <c r="Y75" i="24"/>
  <c r="AE75" i="24"/>
  <c r="AD75" i="24"/>
  <c r="AC75" i="24"/>
  <c r="AA75" i="24"/>
  <c r="Z75" i="24"/>
  <c r="AH75" i="24"/>
  <c r="X75" i="24"/>
  <c r="AA83" i="24"/>
  <c r="AH83" i="24"/>
  <c r="AG83" i="24"/>
  <c r="Y83" i="24"/>
  <c r="AE83" i="24"/>
  <c r="AC83" i="24"/>
  <c r="AB83" i="24"/>
  <c r="Z83" i="24"/>
  <c r="X83" i="24"/>
  <c r="AF83" i="24"/>
  <c r="X48" i="24"/>
  <c r="B8" i="26" s="1"/>
  <c r="AF48" i="24"/>
  <c r="J8" i="26" s="1"/>
  <c r="Z49" i="24"/>
  <c r="AH49" i="24"/>
  <c r="AB50" i="24"/>
  <c r="AD51" i="24"/>
  <c r="AE55" i="24"/>
  <c r="X56" i="24"/>
  <c r="AH57" i="24"/>
  <c r="AB58" i="24"/>
  <c r="AD63" i="24"/>
  <c r="X64" i="24"/>
  <c r="AH65" i="24"/>
  <c r="AB66" i="24"/>
  <c r="AH71" i="24"/>
  <c r="Z73" i="24"/>
  <c r="AA52" i="24"/>
  <c r="AH52" i="24"/>
  <c r="Z52" i="24"/>
  <c r="AD52" i="24"/>
  <c r="AA60" i="24"/>
  <c r="AH60" i="24"/>
  <c r="Z60" i="24"/>
  <c r="AE60" i="24"/>
  <c r="AD60" i="24"/>
  <c r="AA68" i="24"/>
  <c r="AH68" i="24"/>
  <c r="Z68" i="24"/>
  <c r="AE68" i="24"/>
  <c r="AD68" i="24"/>
  <c r="AA76" i="24"/>
  <c r="AB76" i="24"/>
  <c r="Z76" i="24"/>
  <c r="AH76" i="24"/>
  <c r="Y76" i="24"/>
  <c r="AG76" i="24"/>
  <c r="AF76" i="24"/>
  <c r="AE76" i="24"/>
  <c r="AD76" i="24"/>
  <c r="AC84" i="24"/>
  <c r="AB84" i="24"/>
  <c r="AA84" i="24"/>
  <c r="AG84" i="24"/>
  <c r="Y84" i="24"/>
  <c r="AE84" i="24"/>
  <c r="Z84" i="24"/>
  <c r="X84" i="24"/>
  <c r="AH84" i="24"/>
  <c r="AF84" i="24"/>
  <c r="Y48" i="24"/>
  <c r="AC50" i="24"/>
  <c r="G8" i="26" s="1"/>
  <c r="AE51" i="24"/>
  <c r="AH55" i="24"/>
  <c r="Y56" i="24"/>
  <c r="AC58" i="24"/>
  <c r="AG60" i="24"/>
  <c r="AE63" i="24"/>
  <c r="Y64" i="24"/>
  <c r="AC66" i="24"/>
  <c r="AG68" i="24"/>
  <c r="AE73" i="24"/>
  <c r="AA81" i="24"/>
  <c r="D8" i="26"/>
  <c r="C8" i="26"/>
  <c r="Z3" i="21"/>
  <c r="AH3" i="21" s="1"/>
  <c r="AJ4" i="21"/>
  <c r="Z13" i="21"/>
  <c r="AH13" i="21" s="1"/>
  <c r="AJ13" i="21"/>
  <c r="Z5" i="21"/>
  <c r="AH5" i="21" s="1"/>
  <c r="AJ5" i="21"/>
  <c r="Z6" i="21"/>
  <c r="AH6" i="21" s="1"/>
  <c r="U9" i="21"/>
  <c r="AI9" i="21" s="1"/>
  <c r="U10" i="21"/>
  <c r="AI10" i="21" s="1"/>
  <c r="R9" i="21"/>
  <c r="R11" i="21"/>
  <c r="M276" i="21"/>
  <c r="U11" i="21" s="1"/>
  <c r="AI11" i="21" s="1"/>
  <c r="R10" i="21"/>
  <c r="U12" i="21"/>
  <c r="AI12" i="21" s="1"/>
  <c r="R12" i="21"/>
  <c r="X12" i="21" s="1"/>
  <c r="AF12" i="21" s="1"/>
  <c r="AH8" i="21"/>
  <c r="X5" i="21"/>
  <c r="AF5" i="21" s="1"/>
  <c r="X8" i="21"/>
  <c r="AF8" i="21" s="1"/>
  <c r="AO8" i="16"/>
  <c r="AJ5" i="16"/>
  <c r="AJ8" i="16" s="1"/>
  <c r="AO9" i="16"/>
  <c r="AC7" i="17"/>
  <c r="AC15" i="17"/>
  <c r="AT8" i="16"/>
  <c r="M8" i="6"/>
  <c r="M14" i="6"/>
  <c r="M22" i="6"/>
  <c r="M36" i="6"/>
  <c r="AG54" i="8"/>
  <c r="AG54" i="9"/>
  <c r="AG54" i="7"/>
  <c r="AJ54" i="8"/>
  <c r="AJ58" i="8" s="1"/>
  <c r="AJ54" i="9"/>
  <c r="AJ54" i="7"/>
  <c r="W54" i="8"/>
  <c r="W58" i="8" s="1"/>
  <c r="W54" i="9"/>
  <c r="W54" i="7"/>
  <c r="AL55" i="9"/>
  <c r="AL55" i="8"/>
  <c r="AL57" i="6"/>
  <c r="AL55" i="7"/>
  <c r="AH54" i="8"/>
  <c r="AH54" i="9"/>
  <c r="AH54" i="7"/>
  <c r="AD54" i="8"/>
  <c r="AD54" i="9"/>
  <c r="AD54" i="7"/>
  <c r="AI54" i="8"/>
  <c r="AI58" i="8" s="1"/>
  <c r="AI54" i="9"/>
  <c r="AI54" i="7"/>
  <c r="AD55" i="9"/>
  <c r="AD55" i="8"/>
  <c r="W46" i="13"/>
  <c r="W46" i="12"/>
  <c r="W46" i="11"/>
  <c r="W46" i="10"/>
  <c r="AH55" i="9"/>
  <c r="AH55" i="8"/>
  <c r="Z45" i="13"/>
  <c r="Z45" i="12"/>
  <c r="Z49" i="12" s="1"/>
  <c r="Z45" i="10"/>
  <c r="Z45" i="11"/>
  <c r="Z49" i="11" s="1"/>
  <c r="Y45" i="13"/>
  <c r="Y45" i="12"/>
  <c r="Y45" i="11"/>
  <c r="Y45" i="10"/>
  <c r="V56" i="9"/>
  <c r="V56" i="8"/>
  <c r="Z47" i="13"/>
  <c r="Z47" i="12"/>
  <c r="Z47" i="10"/>
  <c r="Z47" i="11"/>
  <c r="Q54" i="8"/>
  <c r="Q58" i="8" s="1"/>
  <c r="Q54" i="9"/>
  <c r="Q54" i="7"/>
  <c r="AG56" i="9"/>
  <c r="AG56" i="8"/>
  <c r="Y47" i="13"/>
  <c r="Y47" i="12"/>
  <c r="Y47" i="11"/>
  <c r="Y47" i="10"/>
  <c r="Z56" i="9"/>
  <c r="Z56" i="8"/>
  <c r="AI55" i="9"/>
  <c r="AI55" i="8"/>
  <c r="U54" i="8"/>
  <c r="U58" i="8" s="1"/>
  <c r="U54" i="9"/>
  <c r="U54" i="7"/>
  <c r="X54" i="8"/>
  <c r="X58" i="8" s="1"/>
  <c r="X54" i="9"/>
  <c r="X54" i="7"/>
  <c r="AD57" i="6"/>
  <c r="AG58" i="6"/>
  <c r="AJ57" i="6"/>
  <c r="Z54" i="8"/>
  <c r="Z58" i="8" s="1"/>
  <c r="Z21" i="9" s="1"/>
  <c r="Z54" i="9"/>
  <c r="Z54" i="7"/>
  <c r="AJ55" i="7"/>
  <c r="W45" i="13"/>
  <c r="W45" i="12"/>
  <c r="W45" i="11"/>
  <c r="W45" i="10"/>
  <c r="D18" i="5"/>
  <c r="AB56" i="6" s="1"/>
  <c r="D28" i="5"/>
  <c r="AL56" i="6" s="1"/>
  <c r="AA45" i="13"/>
  <c r="AA45" i="12"/>
  <c r="AA45" i="10"/>
  <c r="AA45" i="11"/>
  <c r="AA56" i="9"/>
  <c r="AA56" i="8"/>
  <c r="AI56" i="9"/>
  <c r="AI56" i="8"/>
  <c r="O54" i="8"/>
  <c r="O58" i="8" s="1"/>
  <c r="O54" i="9"/>
  <c r="O54" i="7"/>
  <c r="AA54" i="8"/>
  <c r="AA58" i="8" s="1"/>
  <c r="AA54" i="9"/>
  <c r="AA54" i="7"/>
  <c r="AG56" i="7"/>
  <c r="AL56" i="9"/>
  <c r="AL56" i="8"/>
  <c r="R45" i="13"/>
  <c r="R45" i="12"/>
  <c r="R45" i="10"/>
  <c r="R45" i="11"/>
  <c r="AB55" i="9"/>
  <c r="AB55" i="8"/>
  <c r="AA46" i="13"/>
  <c r="AA46" i="12"/>
  <c r="AA46" i="10"/>
  <c r="AA46" i="11"/>
  <c r="U47" i="13"/>
  <c r="U47" i="12"/>
  <c r="U47" i="11"/>
  <c r="U47" i="10"/>
  <c r="R54" i="9"/>
  <c r="R54" i="8"/>
  <c r="R58" i="8" s="1"/>
  <c r="R54" i="7"/>
  <c r="U58" i="6"/>
  <c r="AB57" i="6"/>
  <c r="AE54" i="8"/>
  <c r="AE54" i="9"/>
  <c r="AE54" i="7"/>
  <c r="AH57" i="6"/>
  <c r="AK54" i="8"/>
  <c r="AK58" i="8" s="1"/>
  <c r="AK54" i="9"/>
  <c r="AK54" i="7"/>
  <c r="AD55" i="7"/>
  <c r="Z56" i="7"/>
  <c r="AH56" i="7"/>
  <c r="L54" i="8"/>
  <c r="L58" i="8" s="1"/>
  <c r="L54" i="9"/>
  <c r="L54" i="7"/>
  <c r="AB58" i="6"/>
  <c r="AA56" i="7"/>
  <c r="AI56" i="7"/>
  <c r="AJ55" i="9"/>
  <c r="AJ55" i="8"/>
  <c r="AJ56" i="9"/>
  <c r="AJ56" i="8"/>
  <c r="P54" i="8"/>
  <c r="P58" i="8" s="1"/>
  <c r="P54" i="9"/>
  <c r="P54" i="7"/>
  <c r="V58" i="6"/>
  <c r="AC54" i="8"/>
  <c r="AC58" i="8" s="1"/>
  <c r="AC54" i="9"/>
  <c r="AC54" i="7"/>
  <c r="AF54" i="8"/>
  <c r="AF54" i="9"/>
  <c r="AF54" i="7"/>
  <c r="AJ56" i="7"/>
  <c r="AB56" i="9"/>
  <c r="AB56" i="8"/>
  <c r="S54" i="8"/>
  <c r="S54" i="9"/>
  <c r="S54" i="7"/>
  <c r="AI57" i="6"/>
  <c r="AA47" i="13"/>
  <c r="AA47" i="12"/>
  <c r="AA47" i="11"/>
  <c r="AA47" i="10"/>
  <c r="AD56" i="9"/>
  <c r="AD56" i="8"/>
  <c r="F41" i="5"/>
  <c r="U56" i="9"/>
  <c r="U56" i="8"/>
  <c r="AH56" i="9"/>
  <c r="AH56" i="8"/>
  <c r="Z46" i="13"/>
  <c r="Z46" i="12"/>
  <c r="Z46" i="10"/>
  <c r="Z46" i="11"/>
  <c r="M54" i="8"/>
  <c r="M58" i="8" s="1"/>
  <c r="M54" i="9"/>
  <c r="M54" i="7"/>
  <c r="Z58" i="6"/>
  <c r="AI58" i="6"/>
  <c r="AH55" i="7"/>
  <c r="V56" i="7"/>
  <c r="AD56" i="7"/>
  <c r="AL56" i="7"/>
  <c r="X44" i="11"/>
  <c r="Y44" i="11"/>
  <c r="M48" i="10"/>
  <c r="M48" i="11" s="1"/>
  <c r="L44" i="10"/>
  <c r="P44" i="10"/>
  <c r="S44" i="10"/>
  <c r="V44" i="10"/>
  <c r="Y44" i="10"/>
  <c r="P48" i="10"/>
  <c r="P48" i="11" s="1"/>
  <c r="V48" i="10"/>
  <c r="V48" i="12" s="1"/>
  <c r="O44" i="10"/>
  <c r="R44" i="10"/>
  <c r="U44" i="10"/>
  <c r="X44" i="10"/>
  <c r="X49" i="10" s="1"/>
  <c r="AA44" i="10"/>
  <c r="O48" i="10"/>
  <c r="O48" i="11" s="1"/>
  <c r="U48" i="10"/>
  <c r="U48" i="11" s="1"/>
  <c r="X48" i="10"/>
  <c r="N44" i="10"/>
  <c r="T44" i="10"/>
  <c r="Z44" i="10"/>
  <c r="N48" i="10"/>
  <c r="N48" i="11" s="1"/>
  <c r="T48" i="10"/>
  <c r="Z48" i="10"/>
  <c r="M44" i="10"/>
  <c r="M49" i="10" s="1"/>
  <c r="Q44" i="10"/>
  <c r="W44" i="10"/>
  <c r="AA51" i="9"/>
  <c r="AA47" i="9"/>
  <c r="AA48" i="9"/>
  <c r="AA49" i="9"/>
  <c r="AA45" i="9"/>
  <c r="AA41" i="9"/>
  <c r="AA50" i="9"/>
  <c r="AA46" i="9"/>
  <c r="AA29" i="9"/>
  <c r="AA25" i="9"/>
  <c r="AA21" i="9"/>
  <c r="AA17" i="9"/>
  <c r="AA44" i="9"/>
  <c r="AA43" i="9"/>
  <c r="AA35" i="9"/>
  <c r="AA34" i="9"/>
  <c r="AA36" i="9"/>
  <c r="AA37" i="9"/>
  <c r="AA30" i="9"/>
  <c r="AA42" i="9"/>
  <c r="AA38" i="9"/>
  <c r="AA31" i="9"/>
  <c r="AA27" i="9"/>
  <c r="AA23" i="9"/>
  <c r="AA19" i="9"/>
  <c r="AA39" i="9"/>
  <c r="AA40" i="9"/>
  <c r="AA32" i="9"/>
  <c r="AA33" i="9"/>
  <c r="AA12" i="9"/>
  <c r="AA8" i="9"/>
  <c r="AA24" i="9"/>
  <c r="AA16" i="9"/>
  <c r="AA13" i="9"/>
  <c r="AA9" i="9"/>
  <c r="AA5" i="9"/>
  <c r="AA26" i="9"/>
  <c r="AA18" i="9"/>
  <c r="AA28" i="9"/>
  <c r="AA14" i="9"/>
  <c r="AA10" i="9"/>
  <c r="AA6" i="9"/>
  <c r="AA20" i="9"/>
  <c r="AA11" i="9"/>
  <c r="AA7" i="9"/>
  <c r="AA22" i="9"/>
  <c r="AA15" i="9"/>
  <c r="Z7" i="9"/>
  <c r="Z11" i="9"/>
  <c r="Z51" i="9"/>
  <c r="Z47" i="9"/>
  <c r="Z43" i="9"/>
  <c r="Z39" i="9"/>
  <c r="Z35" i="9"/>
  <c r="Z48" i="9"/>
  <c r="Z44" i="9"/>
  <c r="Z40" i="9"/>
  <c r="Z36" i="9"/>
  <c r="Z32" i="9"/>
  <c r="Z49" i="9"/>
  <c r="Z45" i="9"/>
  <c r="Z41" i="9"/>
  <c r="Z37" i="9"/>
  <c r="Z50" i="9"/>
  <c r="Z46" i="9"/>
  <c r="Z42" i="9"/>
  <c r="Z38" i="9"/>
  <c r="Z34" i="9"/>
  <c r="Z30" i="9"/>
  <c r="Z33" i="9"/>
  <c r="Z29" i="9"/>
  <c r="Z25" i="9"/>
  <c r="Z26" i="9"/>
  <c r="Z22" i="9"/>
  <c r="Z18" i="9"/>
  <c r="Z31" i="9"/>
  <c r="Z27" i="9"/>
  <c r="Z28" i="9"/>
  <c r="Z24" i="9"/>
  <c r="Z20" i="9"/>
  <c r="Z16" i="9"/>
  <c r="Z6" i="9"/>
  <c r="Z10" i="9"/>
  <c r="Z14" i="9"/>
  <c r="Z19" i="9"/>
  <c r="Z5" i="9"/>
  <c r="Z9" i="9"/>
  <c r="Z13" i="9"/>
  <c r="Z17" i="9"/>
  <c r="Z8" i="9"/>
  <c r="Z12" i="9"/>
  <c r="Z15" i="9"/>
  <c r="Z23" i="9"/>
  <c r="M68" i="6"/>
  <c r="AF53" i="7"/>
  <c r="AE53" i="7"/>
  <c r="AA53" i="7"/>
  <c r="AA58" i="7" s="1"/>
  <c r="Z53" i="7"/>
  <c r="Z58" i="7" s="1"/>
  <c r="AG53" i="7"/>
  <c r="M63" i="6"/>
  <c r="M66" i="6"/>
  <c r="M48" i="6"/>
  <c r="M19" i="6"/>
  <c r="M27" i="6"/>
  <c r="M31" i="6"/>
  <c r="M35" i="6"/>
  <c r="M39" i="6"/>
  <c r="M43" i="6"/>
  <c r="M47" i="6"/>
  <c r="M51" i="6"/>
  <c r="R55" i="6"/>
  <c r="R60" i="6" s="1"/>
  <c r="Y55" i="6"/>
  <c r="M28" i="6"/>
  <c r="M44" i="6"/>
  <c r="AH55" i="6"/>
  <c r="AH60" i="6" s="1"/>
  <c r="M7" i="6"/>
  <c r="M17" i="6"/>
  <c r="M23" i="6"/>
  <c r="O55" i="6"/>
  <c r="O60" i="6" s="1"/>
  <c r="M32" i="6"/>
  <c r="AF55" i="6"/>
  <c r="AF60" i="6" s="1"/>
  <c r="M12" i="6"/>
  <c r="M20" i="6"/>
  <c r="M29" i="6"/>
  <c r="M33" i="6"/>
  <c r="M37" i="6"/>
  <c r="M41" i="6"/>
  <c r="M45" i="6"/>
  <c r="M49" i="6"/>
  <c r="Z55" i="6"/>
  <c r="M18" i="6"/>
  <c r="M40" i="6"/>
  <c r="L55" i="6"/>
  <c r="L60" i="6" s="1"/>
  <c r="M24" i="6"/>
  <c r="Q55" i="6"/>
  <c r="Q60" i="6" s="1"/>
  <c r="M13" i="6"/>
  <c r="M21" i="6"/>
  <c r="M25" i="6"/>
  <c r="S55" i="6"/>
  <c r="S60" i="6" s="1"/>
  <c r="U55" i="6"/>
  <c r="U60" i="6" s="1"/>
  <c r="AC55" i="6"/>
  <c r="AC60" i="6" s="1"/>
  <c r="AE55" i="6"/>
  <c r="AE60" i="6" s="1"/>
  <c r="M11" i="6"/>
  <c r="M26" i="6"/>
  <c r="M30" i="6"/>
  <c r="M34" i="6"/>
  <c r="M38" i="6"/>
  <c r="M42" i="6"/>
  <c r="M46" i="6"/>
  <c r="M50" i="6"/>
  <c r="P55" i="6"/>
  <c r="P60" i="6" s="1"/>
  <c r="W55" i="6"/>
  <c r="W60" i="6" s="1"/>
  <c r="V55" i="6"/>
  <c r="AA55" i="6"/>
  <c r="D37" i="5"/>
  <c r="L8" i="26" l="1"/>
  <c r="AU64" i="23"/>
  <c r="BD64" i="23"/>
  <c r="BC64" i="23"/>
  <c r="AN64" i="23"/>
  <c r="AM64" i="23"/>
  <c r="AK74" i="23"/>
  <c r="BA74" i="23"/>
  <c r="M67" i="6"/>
  <c r="BC59" i="23"/>
  <c r="AT59" i="23"/>
  <c r="AM59" i="23"/>
  <c r="F10" i="25" s="1"/>
  <c r="AU59" i="23"/>
  <c r="N8" i="25" s="1"/>
  <c r="Z48" i="12"/>
  <c r="G8" i="25"/>
  <c r="BC80" i="23"/>
  <c r="AS80" i="23"/>
  <c r="AM70" i="23"/>
  <c r="AK70" i="23"/>
  <c r="D6" i="25" s="1"/>
  <c r="E8" i="25"/>
  <c r="V10" i="25"/>
  <c r="AY79" i="23"/>
  <c r="AI79" i="23"/>
  <c r="X55" i="6"/>
  <c r="X60" i="6" s="1"/>
  <c r="AW58" i="23"/>
  <c r="AY58" i="23"/>
  <c r="R10" i="25" s="1"/>
  <c r="AX58" i="23"/>
  <c r="Q10" i="25" s="1"/>
  <c r="AQ58" i="23"/>
  <c r="AP58" i="23"/>
  <c r="AI58" i="23"/>
  <c r="B8" i="25" s="1"/>
  <c r="K6" i="26"/>
  <c r="V6" i="25"/>
  <c r="BA57" i="23"/>
  <c r="T8" i="25" s="1"/>
  <c r="BB57" i="23"/>
  <c r="U8" i="25" s="1"/>
  <c r="AU57" i="23"/>
  <c r="N6" i="25" s="1"/>
  <c r="AT57" i="23"/>
  <c r="AM57" i="23"/>
  <c r="AL57" i="23"/>
  <c r="BC57" i="23"/>
  <c r="V8" i="25" s="1"/>
  <c r="AW69" i="23"/>
  <c r="AQ69" i="23"/>
  <c r="J6" i="25" s="1"/>
  <c r="AB44" i="10"/>
  <c r="X11" i="21"/>
  <c r="AF11" i="21" s="1"/>
  <c r="L8" i="25"/>
  <c r="U10" i="25"/>
  <c r="BD61" i="23"/>
  <c r="W10" i="25" s="1"/>
  <c r="BA61" i="23"/>
  <c r="AQ61" i="23"/>
  <c r="AO61" i="23"/>
  <c r="H8" i="25" s="1"/>
  <c r="X9" i="21"/>
  <c r="AF9" i="21" s="1"/>
  <c r="D8" i="25"/>
  <c r="M10" i="25"/>
  <c r="AI55" i="6"/>
  <c r="AI60" i="6" s="1"/>
  <c r="P73" i="23"/>
  <c r="AQ73" i="23"/>
  <c r="AM66" i="23"/>
  <c r="AU66" i="23"/>
  <c r="BA66" i="23"/>
  <c r="BC72" i="23"/>
  <c r="AS72" i="23"/>
  <c r="AM72" i="23"/>
  <c r="M69" i="6"/>
  <c r="M64" i="6" s="1"/>
  <c r="M70" i="6" s="1"/>
  <c r="J8" i="25"/>
  <c r="E10" i="25"/>
  <c r="D30" i="5"/>
  <c r="AZ62" i="23"/>
  <c r="S8" i="25" s="1"/>
  <c r="AK62" i="23"/>
  <c r="AJ62" i="23"/>
  <c r="C10" i="25" s="1"/>
  <c r="AW62" i="23"/>
  <c r="P10" i="25" s="1"/>
  <c r="AV62" i="23"/>
  <c r="AA53" i="9"/>
  <c r="R49" i="10"/>
  <c r="R18" i="11" s="1"/>
  <c r="D4" i="5"/>
  <c r="F30" i="5" s="1"/>
  <c r="B6" i="25"/>
  <c r="B10" i="25"/>
  <c r="W6" i="25"/>
  <c r="O6" i="25"/>
  <c r="O10" i="25"/>
  <c r="O8" i="25"/>
  <c r="J10" i="26"/>
  <c r="J6" i="26"/>
  <c r="I10" i="26"/>
  <c r="I6" i="26"/>
  <c r="G6" i="26"/>
  <c r="G10" i="26"/>
  <c r="L6" i="26"/>
  <c r="L10" i="26"/>
  <c r="G6" i="25"/>
  <c r="G10" i="25"/>
  <c r="B10" i="26"/>
  <c r="B6" i="26"/>
  <c r="F10" i="26"/>
  <c r="F6" i="26"/>
  <c r="D6" i="26"/>
  <c r="D10" i="26"/>
  <c r="S6" i="25"/>
  <c r="S10" i="25"/>
  <c r="H10" i="25"/>
  <c r="H6" i="25"/>
  <c r="I10" i="25"/>
  <c r="I6" i="25"/>
  <c r="M8" i="25"/>
  <c r="E10" i="26"/>
  <c r="E6" i="26"/>
  <c r="K6" i="25"/>
  <c r="K10" i="25"/>
  <c r="M6" i="25"/>
  <c r="I8" i="25"/>
  <c r="K10" i="26"/>
  <c r="C6" i="25"/>
  <c r="U6" i="25"/>
  <c r="E6" i="25"/>
  <c r="D10" i="25"/>
  <c r="J10" i="25"/>
  <c r="K8" i="26"/>
  <c r="M8" i="26" s="1"/>
  <c r="C6" i="26"/>
  <c r="C10" i="26"/>
  <c r="H6" i="26"/>
  <c r="H10" i="26"/>
  <c r="L10" i="25"/>
  <c r="L6" i="25"/>
  <c r="R6" i="25"/>
  <c r="X10" i="21"/>
  <c r="AF10" i="21" s="1"/>
  <c r="AT9" i="16"/>
  <c r="AJ9" i="16"/>
  <c r="T49" i="10"/>
  <c r="T39" i="11" s="1"/>
  <c r="T39" i="12" s="1"/>
  <c r="Z53" i="9"/>
  <c r="AC18" i="7"/>
  <c r="AC14" i="7"/>
  <c r="AC20" i="7"/>
  <c r="AC16" i="7"/>
  <c r="AC12" i="7"/>
  <c r="AC25" i="7"/>
  <c r="AC5" i="7"/>
  <c r="AC17" i="7"/>
  <c r="AC19" i="7"/>
  <c r="AC15" i="7"/>
  <c r="AC11" i="7"/>
  <c r="AC8" i="7"/>
  <c r="AC7" i="7"/>
  <c r="AC9" i="7"/>
  <c r="AC13" i="7"/>
  <c r="AC6" i="7"/>
  <c r="AC10" i="7"/>
  <c r="AC22" i="7"/>
  <c r="AC43" i="7"/>
  <c r="AC33" i="7"/>
  <c r="AC21" i="7"/>
  <c r="AC28" i="7"/>
  <c r="AC31" i="7"/>
  <c r="AC32" i="7"/>
  <c r="AC26" i="7"/>
  <c r="AC51" i="7"/>
  <c r="AC23" i="7"/>
  <c r="AC29" i="7"/>
  <c r="AC36" i="7"/>
  <c r="AC39" i="7"/>
  <c r="AC40" i="7"/>
  <c r="AC34" i="7"/>
  <c r="AC37" i="7"/>
  <c r="AC44" i="7"/>
  <c r="AC30" i="7"/>
  <c r="AC47" i="7"/>
  <c r="AC48" i="7"/>
  <c r="AC42" i="7"/>
  <c r="AC38" i="7"/>
  <c r="AC50" i="7"/>
  <c r="AC46" i="7"/>
  <c r="AC24" i="7"/>
  <c r="AC41" i="7"/>
  <c r="AC27" i="7"/>
  <c r="AC45" i="7"/>
  <c r="AC49" i="7"/>
  <c r="AC35" i="7"/>
  <c r="L29" i="7"/>
  <c r="L21" i="7"/>
  <c r="L13" i="7"/>
  <c r="L27" i="7"/>
  <c r="L23" i="7"/>
  <c r="L15" i="7"/>
  <c r="L9" i="7"/>
  <c r="L8" i="7"/>
  <c r="L28" i="7"/>
  <c r="L16" i="7"/>
  <c r="L22" i="7"/>
  <c r="L10" i="7"/>
  <c r="L24" i="7"/>
  <c r="L14" i="7"/>
  <c r="L6" i="7"/>
  <c r="L26" i="7"/>
  <c r="L5" i="7"/>
  <c r="L40" i="7"/>
  <c r="L41" i="7"/>
  <c r="L30" i="7"/>
  <c r="L18" i="7"/>
  <c r="L49" i="7"/>
  <c r="L38" i="7"/>
  <c r="L48" i="7"/>
  <c r="L19" i="7"/>
  <c r="L46" i="7"/>
  <c r="L11" i="7"/>
  <c r="L35" i="7"/>
  <c r="L20" i="7"/>
  <c r="L31" i="7"/>
  <c r="L34" i="7"/>
  <c r="L43" i="7"/>
  <c r="L36" i="7"/>
  <c r="L7" i="7"/>
  <c r="L39" i="7"/>
  <c r="L42" i="7"/>
  <c r="L51" i="7"/>
  <c r="L25" i="7"/>
  <c r="L12" i="7"/>
  <c r="L44" i="7"/>
  <c r="L47" i="7"/>
  <c r="L17" i="7"/>
  <c r="L50" i="7"/>
  <c r="L37" i="7"/>
  <c r="L32" i="7"/>
  <c r="L33" i="7"/>
  <c r="L45" i="7"/>
  <c r="F37" i="5"/>
  <c r="R47" i="13"/>
  <c r="R47" i="12"/>
  <c r="R47" i="10"/>
  <c r="R47" i="11"/>
  <c r="E37" i="5"/>
  <c r="R46" i="13"/>
  <c r="R46" i="12"/>
  <c r="R46" i="10"/>
  <c r="R46" i="11"/>
  <c r="U49" i="7"/>
  <c r="U47" i="7"/>
  <c r="U46" i="7"/>
  <c r="U50" i="7"/>
  <c r="U45" i="7"/>
  <c r="U41" i="7"/>
  <c r="U37" i="7"/>
  <c r="U33" i="7"/>
  <c r="U29" i="7"/>
  <c r="U25" i="7"/>
  <c r="U21" i="7"/>
  <c r="U44" i="7"/>
  <c r="U40" i="7"/>
  <c r="U36" i="7"/>
  <c r="U32" i="7"/>
  <c r="U28" i="7"/>
  <c r="U24" i="7"/>
  <c r="U20" i="7"/>
  <c r="U16" i="7"/>
  <c r="U12" i="7"/>
  <c r="U51" i="7"/>
  <c r="U43" i="7"/>
  <c r="U39" i="7"/>
  <c r="U35" i="7"/>
  <c r="U31" i="7"/>
  <c r="U27" i="7"/>
  <c r="U23" i="7"/>
  <c r="U19" i="7"/>
  <c r="U15" i="7"/>
  <c r="U48" i="7"/>
  <c r="U42" i="7"/>
  <c r="U38" i="7"/>
  <c r="U34" i="7"/>
  <c r="U30" i="7"/>
  <c r="U26" i="7"/>
  <c r="U22" i="7"/>
  <c r="U18" i="7"/>
  <c r="U14" i="7"/>
  <c r="U10" i="7"/>
  <c r="U11" i="7"/>
  <c r="U8" i="7"/>
  <c r="U13" i="7"/>
  <c r="U9" i="7"/>
  <c r="U7" i="7"/>
  <c r="U17" i="7"/>
  <c r="U6" i="7"/>
  <c r="U5" i="7"/>
  <c r="Z46" i="8"/>
  <c r="Y46" i="23" s="1"/>
  <c r="Y98" i="23" s="1"/>
  <c r="Z49" i="8"/>
  <c r="Y49" i="23" s="1"/>
  <c r="Y101" i="23" s="1"/>
  <c r="Z42" i="8"/>
  <c r="Y42" i="23" s="1"/>
  <c r="Y94" i="23" s="1"/>
  <c r="Z34" i="8"/>
  <c r="Y34" i="23" s="1"/>
  <c r="Y86" i="23" s="1"/>
  <c r="Z50" i="8"/>
  <c r="Y50" i="23" s="1"/>
  <c r="Y102" i="23" s="1"/>
  <c r="Z41" i="8"/>
  <c r="Y41" i="23" s="1"/>
  <c r="Y93" i="23" s="1"/>
  <c r="Z39" i="8"/>
  <c r="Y39" i="23" s="1"/>
  <c r="Y91" i="23" s="1"/>
  <c r="Z31" i="8"/>
  <c r="Y31" i="23" s="1"/>
  <c r="Y83" i="23" s="1"/>
  <c r="Z38" i="8"/>
  <c r="Y38" i="23" s="1"/>
  <c r="Y90" i="23" s="1"/>
  <c r="Z30" i="8"/>
  <c r="Y30" i="23" s="1"/>
  <c r="Y82" i="23" s="1"/>
  <c r="Z51" i="8"/>
  <c r="Y51" i="23" s="1"/>
  <c r="Y103" i="23" s="1"/>
  <c r="Z45" i="8"/>
  <c r="Y45" i="23" s="1"/>
  <c r="Y97" i="23" s="1"/>
  <c r="Z47" i="8"/>
  <c r="Y47" i="23" s="1"/>
  <c r="Y99" i="23" s="1"/>
  <c r="Z48" i="8"/>
  <c r="Y48" i="23" s="1"/>
  <c r="Y100" i="23" s="1"/>
  <c r="Z43" i="8"/>
  <c r="Y43" i="23" s="1"/>
  <c r="Y95" i="23" s="1"/>
  <c r="Z35" i="8"/>
  <c r="Y35" i="23" s="1"/>
  <c r="Y87" i="23" s="1"/>
  <c r="Z44" i="8"/>
  <c r="Y44" i="23" s="1"/>
  <c r="Y96" i="23" s="1"/>
  <c r="Z37" i="8"/>
  <c r="Y37" i="23" s="1"/>
  <c r="Y89" i="23" s="1"/>
  <c r="Z33" i="8"/>
  <c r="Y33" i="23" s="1"/>
  <c r="Y85" i="23" s="1"/>
  <c r="Z26" i="8"/>
  <c r="Y26" i="23" s="1"/>
  <c r="Y78" i="23" s="1"/>
  <c r="Z12" i="8"/>
  <c r="Y12" i="23" s="1"/>
  <c r="Y64" i="23" s="1"/>
  <c r="Z7" i="8"/>
  <c r="Y7" i="23" s="1"/>
  <c r="Y59" i="23" s="1"/>
  <c r="Z32" i="8"/>
  <c r="Y32" i="23" s="1"/>
  <c r="Y84" i="23" s="1"/>
  <c r="Z25" i="8"/>
  <c r="Y25" i="23" s="1"/>
  <c r="Y77" i="23" s="1"/>
  <c r="Z18" i="8"/>
  <c r="Y18" i="23" s="1"/>
  <c r="Y70" i="23" s="1"/>
  <c r="Z11" i="8"/>
  <c r="Y11" i="23" s="1"/>
  <c r="Y63" i="23" s="1"/>
  <c r="Z29" i="8"/>
  <c r="Y29" i="23" s="1"/>
  <c r="Y81" i="23" s="1"/>
  <c r="Z24" i="8"/>
  <c r="Y24" i="23" s="1"/>
  <c r="Y76" i="23" s="1"/>
  <c r="Z23" i="8"/>
  <c r="Y23" i="23" s="1"/>
  <c r="Y75" i="23" s="1"/>
  <c r="Z16" i="8"/>
  <c r="Y16" i="23" s="1"/>
  <c r="Y68" i="23" s="1"/>
  <c r="Z10" i="8"/>
  <c r="Y10" i="23" s="1"/>
  <c r="Y62" i="23" s="1"/>
  <c r="Z22" i="8"/>
  <c r="Y22" i="23" s="1"/>
  <c r="Y74" i="23" s="1"/>
  <c r="Z15" i="8"/>
  <c r="Y15" i="23" s="1"/>
  <c r="Y67" i="23" s="1"/>
  <c r="Z5" i="8"/>
  <c r="Y5" i="23" s="1"/>
  <c r="Y57" i="23" s="1"/>
  <c r="Z40" i="8"/>
  <c r="Y40" i="23" s="1"/>
  <c r="Y92" i="23" s="1"/>
  <c r="Z21" i="8"/>
  <c r="Y21" i="23" s="1"/>
  <c r="Y73" i="23" s="1"/>
  <c r="Z9" i="8"/>
  <c r="Y9" i="23" s="1"/>
  <c r="Y61" i="23" s="1"/>
  <c r="Z28" i="8"/>
  <c r="Y28" i="23" s="1"/>
  <c r="Y80" i="23" s="1"/>
  <c r="Z36" i="8"/>
  <c r="Y36" i="23" s="1"/>
  <c r="Y88" i="23" s="1"/>
  <c r="Z27" i="8"/>
  <c r="Y27" i="23" s="1"/>
  <c r="Y79" i="23" s="1"/>
  <c r="Z19" i="8"/>
  <c r="Y19" i="23" s="1"/>
  <c r="Y71" i="23" s="1"/>
  <c r="Z13" i="8"/>
  <c r="Y13" i="23" s="1"/>
  <c r="Y65" i="23" s="1"/>
  <c r="Z20" i="8"/>
  <c r="Y20" i="23" s="1"/>
  <c r="Y72" i="23" s="1"/>
  <c r="Z14" i="8"/>
  <c r="Y14" i="23" s="1"/>
  <c r="Y66" i="23" s="1"/>
  <c r="Z8" i="8"/>
  <c r="Y8" i="23" s="1"/>
  <c r="Y60" i="23" s="1"/>
  <c r="Z17" i="8"/>
  <c r="Y17" i="23" s="1"/>
  <c r="Y69" i="23" s="1"/>
  <c r="Z6" i="8"/>
  <c r="Y6" i="23" s="1"/>
  <c r="Y58" i="23" s="1"/>
  <c r="M11" i="11"/>
  <c r="M9" i="11"/>
  <c r="M7" i="11"/>
  <c r="M5" i="11"/>
  <c r="M16" i="11"/>
  <c r="M10" i="11"/>
  <c r="M8" i="11"/>
  <c r="M6" i="11"/>
  <c r="M21" i="11"/>
  <c r="M22" i="11"/>
  <c r="M15" i="11"/>
  <c r="M41" i="11"/>
  <c r="M29" i="11"/>
  <c r="M30" i="11"/>
  <c r="M24" i="11"/>
  <c r="M20" i="11"/>
  <c r="M38" i="11"/>
  <c r="M32" i="11"/>
  <c r="M40" i="11"/>
  <c r="M28" i="11"/>
  <c r="M36" i="11"/>
  <c r="M14" i="11"/>
  <c r="M17" i="11"/>
  <c r="M23" i="11"/>
  <c r="M25" i="11"/>
  <c r="M26" i="11"/>
  <c r="M27" i="11"/>
  <c r="M12" i="11"/>
  <c r="M13" i="11"/>
  <c r="M31" i="11"/>
  <c r="M33" i="11"/>
  <c r="M34" i="11"/>
  <c r="M35" i="11"/>
  <c r="M37" i="11"/>
  <c r="M39" i="11"/>
  <c r="M18" i="11"/>
  <c r="M19" i="11"/>
  <c r="M42" i="11"/>
  <c r="P27" i="7"/>
  <c r="P23" i="7"/>
  <c r="P19" i="7"/>
  <c r="P26" i="7"/>
  <c r="P22" i="7"/>
  <c r="P18" i="7"/>
  <c r="P14" i="7"/>
  <c r="P10" i="7"/>
  <c r="P29" i="7"/>
  <c r="P25" i="7"/>
  <c r="P21" i="7"/>
  <c r="P17" i="7"/>
  <c r="P28" i="7"/>
  <c r="P24" i="7"/>
  <c r="P20" i="7"/>
  <c r="P16" i="7"/>
  <c r="P12" i="7"/>
  <c r="P8" i="7"/>
  <c r="P15" i="7"/>
  <c r="P6" i="7"/>
  <c r="P11" i="7"/>
  <c r="P5" i="7"/>
  <c r="P13" i="7"/>
  <c r="P9" i="7"/>
  <c r="P7" i="7"/>
  <c r="P43" i="7"/>
  <c r="P47" i="7"/>
  <c r="P51" i="7"/>
  <c r="P37" i="7"/>
  <c r="P30" i="7"/>
  <c r="P34" i="7"/>
  <c r="P45" i="7"/>
  <c r="P38" i="7"/>
  <c r="P42" i="7"/>
  <c r="P46" i="7"/>
  <c r="P32" i="7"/>
  <c r="P50" i="7"/>
  <c r="P40" i="7"/>
  <c r="P48" i="7"/>
  <c r="P33" i="7"/>
  <c r="P36" i="7"/>
  <c r="P31" i="7"/>
  <c r="P41" i="7"/>
  <c r="P35" i="7"/>
  <c r="P44" i="7"/>
  <c r="P39" i="7"/>
  <c r="P49" i="7"/>
  <c r="S18" i="7"/>
  <c r="S14" i="7"/>
  <c r="S20" i="7"/>
  <c r="S16" i="7"/>
  <c r="S12" i="7"/>
  <c r="S15" i="7"/>
  <c r="S5" i="7"/>
  <c r="S11" i="7"/>
  <c r="S8" i="7"/>
  <c r="S25" i="7"/>
  <c r="S13" i="7"/>
  <c r="S9" i="7"/>
  <c r="S7" i="7"/>
  <c r="S10" i="7"/>
  <c r="S19" i="7"/>
  <c r="S17" i="7"/>
  <c r="S6" i="7"/>
  <c r="S37" i="7"/>
  <c r="S24" i="7"/>
  <c r="S45" i="7"/>
  <c r="S39" i="7"/>
  <c r="S33" i="7"/>
  <c r="S41" i="7"/>
  <c r="S47" i="7"/>
  <c r="S32" i="7"/>
  <c r="S49" i="7"/>
  <c r="S35" i="7"/>
  <c r="S28" i="7"/>
  <c r="S30" i="7"/>
  <c r="S21" i="7"/>
  <c r="S40" i="7"/>
  <c r="S43" i="7"/>
  <c r="S36" i="7"/>
  <c r="S38" i="7"/>
  <c r="S27" i="7"/>
  <c r="S48" i="7"/>
  <c r="S26" i="7"/>
  <c r="S51" i="7"/>
  <c r="S44" i="7"/>
  <c r="S46" i="7"/>
  <c r="S23" i="7"/>
  <c r="S34" i="7"/>
  <c r="S42" i="7"/>
  <c r="S22" i="7"/>
  <c r="S29" i="7"/>
  <c r="S50" i="7"/>
  <c r="S31" i="7"/>
  <c r="AH25" i="7"/>
  <c r="AH17" i="7"/>
  <c r="AH13" i="7"/>
  <c r="AH19" i="7"/>
  <c r="AH15" i="7"/>
  <c r="AH11" i="7"/>
  <c r="AH18" i="7"/>
  <c r="AH12" i="7"/>
  <c r="AH16" i="7"/>
  <c r="AH20" i="7"/>
  <c r="AH8" i="7"/>
  <c r="AH7" i="7"/>
  <c r="AH14" i="7"/>
  <c r="AH9" i="7"/>
  <c r="AH6" i="7"/>
  <c r="AH10" i="7"/>
  <c r="AH5" i="7"/>
  <c r="AH31" i="7"/>
  <c r="AH48" i="7"/>
  <c r="AH27" i="7"/>
  <c r="AH39" i="7"/>
  <c r="AH35" i="7"/>
  <c r="AH32" i="7"/>
  <c r="AH47" i="7"/>
  <c r="AH43" i="7"/>
  <c r="AH29" i="7"/>
  <c r="AH26" i="7"/>
  <c r="AH51" i="7"/>
  <c r="AH37" i="7"/>
  <c r="AH28" i="7"/>
  <c r="AH22" i="7"/>
  <c r="AH21" i="7"/>
  <c r="AH33" i="7"/>
  <c r="AH34" i="7"/>
  <c r="AH45" i="7"/>
  <c r="AH36" i="7"/>
  <c r="AH24" i="7"/>
  <c r="AH30" i="7"/>
  <c r="AH41" i="7"/>
  <c r="AH42" i="7"/>
  <c r="AH44" i="7"/>
  <c r="AH38" i="7"/>
  <c r="AH23" i="7"/>
  <c r="AH49" i="7"/>
  <c r="AH50" i="7"/>
  <c r="AH46" i="7"/>
  <c r="AH40" i="7"/>
  <c r="W51" i="7"/>
  <c r="W48" i="7"/>
  <c r="W50" i="7"/>
  <c r="W44" i="7"/>
  <c r="W40" i="7"/>
  <c r="W36" i="7"/>
  <c r="W32" i="7"/>
  <c r="W28" i="7"/>
  <c r="W24" i="7"/>
  <c r="W20" i="7"/>
  <c r="W47" i="7"/>
  <c r="W43" i="7"/>
  <c r="W39" i="7"/>
  <c r="W35" i="7"/>
  <c r="W31" i="7"/>
  <c r="W27" i="7"/>
  <c r="W23" i="7"/>
  <c r="W19" i="7"/>
  <c r="W15" i="7"/>
  <c r="W11" i="7"/>
  <c r="W49" i="7"/>
  <c r="W46" i="7"/>
  <c r="W42" i="7"/>
  <c r="W38" i="7"/>
  <c r="W34" i="7"/>
  <c r="W30" i="7"/>
  <c r="W26" i="7"/>
  <c r="W22" i="7"/>
  <c r="W18" i="7"/>
  <c r="W45" i="7"/>
  <c r="W41" i="7"/>
  <c r="W37" i="7"/>
  <c r="W33" i="7"/>
  <c r="W29" i="7"/>
  <c r="W25" i="7"/>
  <c r="W21" i="7"/>
  <c r="W17" i="7"/>
  <c r="W13" i="7"/>
  <c r="W9" i="7"/>
  <c r="W8" i="7"/>
  <c r="W7" i="7"/>
  <c r="W10" i="7"/>
  <c r="W6" i="7"/>
  <c r="W12" i="7"/>
  <c r="W16" i="7"/>
  <c r="W5" i="7"/>
  <c r="W14" i="7"/>
  <c r="S45" i="13"/>
  <c r="S45" i="12"/>
  <c r="S45" i="10"/>
  <c r="S45" i="11"/>
  <c r="AA50" i="8"/>
  <c r="Z50" i="23" s="1"/>
  <c r="Z102" i="23" s="1"/>
  <c r="AA41" i="8"/>
  <c r="Z41" i="23" s="1"/>
  <c r="Z93" i="23" s="1"/>
  <c r="AA33" i="8"/>
  <c r="Z33" i="23" s="1"/>
  <c r="Z85" i="23" s="1"/>
  <c r="AA40" i="8"/>
  <c r="Z40" i="23" s="1"/>
  <c r="Z92" i="23" s="1"/>
  <c r="AA38" i="8"/>
  <c r="Z38" i="23" s="1"/>
  <c r="Z90" i="23" s="1"/>
  <c r="AA30" i="8"/>
  <c r="Z30" i="23" s="1"/>
  <c r="Z82" i="23" s="1"/>
  <c r="AA51" i="8"/>
  <c r="Z51" i="23" s="1"/>
  <c r="Z103" i="23" s="1"/>
  <c r="AA46" i="8"/>
  <c r="Z46" i="23" s="1"/>
  <c r="Z98" i="23" s="1"/>
  <c r="AA45" i="8"/>
  <c r="Z45" i="23" s="1"/>
  <c r="Z97" i="23" s="1"/>
  <c r="AA37" i="8"/>
  <c r="Z37" i="23" s="1"/>
  <c r="Z89" i="23" s="1"/>
  <c r="AA29" i="8"/>
  <c r="Z29" i="23" s="1"/>
  <c r="Z81" i="23" s="1"/>
  <c r="AA47" i="8"/>
  <c r="Z47" i="23" s="1"/>
  <c r="Z99" i="23" s="1"/>
  <c r="AA44" i="8"/>
  <c r="Z44" i="23" s="1"/>
  <c r="Z96" i="23" s="1"/>
  <c r="AA48" i="8"/>
  <c r="Z48" i="23" s="1"/>
  <c r="Z100" i="23" s="1"/>
  <c r="AA49" i="8"/>
  <c r="Z49" i="23" s="1"/>
  <c r="Z101" i="23" s="1"/>
  <c r="AA42" i="8"/>
  <c r="Z42" i="23" s="1"/>
  <c r="Z94" i="23" s="1"/>
  <c r="AA34" i="8"/>
  <c r="Z34" i="23" s="1"/>
  <c r="Z86" i="23" s="1"/>
  <c r="AA32" i="8"/>
  <c r="Z32" i="23" s="1"/>
  <c r="Z84" i="23" s="1"/>
  <c r="AA25" i="8"/>
  <c r="Z25" i="23" s="1"/>
  <c r="Z77" i="23" s="1"/>
  <c r="AA18" i="8"/>
  <c r="Z18" i="23" s="1"/>
  <c r="Z70" i="23" s="1"/>
  <c r="AA11" i="8"/>
  <c r="Z11" i="23" s="1"/>
  <c r="Z63" i="23" s="1"/>
  <c r="AA31" i="8"/>
  <c r="Z31" i="23" s="1"/>
  <c r="Z83" i="23" s="1"/>
  <c r="AA24" i="8"/>
  <c r="Z24" i="23" s="1"/>
  <c r="Z76" i="23" s="1"/>
  <c r="AA17" i="8"/>
  <c r="Z17" i="23" s="1"/>
  <c r="Z69" i="23" s="1"/>
  <c r="AA23" i="8"/>
  <c r="Z23" i="23" s="1"/>
  <c r="Z75" i="23" s="1"/>
  <c r="AA39" i="8"/>
  <c r="Z39" i="23" s="1"/>
  <c r="Z91" i="23" s="1"/>
  <c r="AA22" i="8"/>
  <c r="Z22" i="23" s="1"/>
  <c r="Z74" i="23" s="1"/>
  <c r="AA15" i="8"/>
  <c r="Z15" i="23" s="1"/>
  <c r="Z67" i="23" s="1"/>
  <c r="AA5" i="8"/>
  <c r="Z5" i="23" s="1"/>
  <c r="Z57" i="23" s="1"/>
  <c r="AA43" i="8"/>
  <c r="Z43" i="23" s="1"/>
  <c r="Z95" i="23" s="1"/>
  <c r="AA21" i="8"/>
  <c r="Z21" i="23" s="1"/>
  <c r="Z73" i="23" s="1"/>
  <c r="AA9" i="8"/>
  <c r="Z9" i="23" s="1"/>
  <c r="Z61" i="23" s="1"/>
  <c r="AA28" i="8"/>
  <c r="Z28" i="23" s="1"/>
  <c r="Z80" i="23" s="1"/>
  <c r="AA20" i="8"/>
  <c r="Z20" i="23" s="1"/>
  <c r="Z72" i="23" s="1"/>
  <c r="AA14" i="8"/>
  <c r="Z14" i="23" s="1"/>
  <c r="Z66" i="23" s="1"/>
  <c r="AA8" i="8"/>
  <c r="Z8" i="23" s="1"/>
  <c r="Z60" i="23" s="1"/>
  <c r="AA36" i="8"/>
  <c r="Z36" i="23" s="1"/>
  <c r="Z88" i="23" s="1"/>
  <c r="AA27" i="8"/>
  <c r="Z27" i="23" s="1"/>
  <c r="Z79" i="23" s="1"/>
  <c r="AA35" i="8"/>
  <c r="Z35" i="23" s="1"/>
  <c r="Z87" i="23" s="1"/>
  <c r="AA26" i="8"/>
  <c r="Z26" i="23" s="1"/>
  <c r="Z78" i="23" s="1"/>
  <c r="AA12" i="8"/>
  <c r="Z12" i="23" s="1"/>
  <c r="Z64" i="23" s="1"/>
  <c r="AA7" i="8"/>
  <c r="Z7" i="23" s="1"/>
  <c r="Z59" i="23" s="1"/>
  <c r="AA13" i="8"/>
  <c r="Z13" i="23" s="1"/>
  <c r="Z65" i="23" s="1"/>
  <c r="AA16" i="8"/>
  <c r="Z16" i="23" s="1"/>
  <c r="Z68" i="23" s="1"/>
  <c r="AA10" i="8"/>
  <c r="Z10" i="23" s="1"/>
  <c r="Z62" i="23" s="1"/>
  <c r="AA19" i="8"/>
  <c r="Z19" i="23" s="1"/>
  <c r="Z71" i="23" s="1"/>
  <c r="AA6" i="8"/>
  <c r="Z6" i="23" s="1"/>
  <c r="Z58" i="23" s="1"/>
  <c r="Q27" i="7"/>
  <c r="Q23" i="7"/>
  <c r="Q15" i="7"/>
  <c r="Q29" i="7"/>
  <c r="Q21" i="7"/>
  <c r="Q13" i="7"/>
  <c r="Q28" i="7"/>
  <c r="Q6" i="7"/>
  <c r="Q22" i="7"/>
  <c r="Q14" i="7"/>
  <c r="Q5" i="7"/>
  <c r="Q24" i="7"/>
  <c r="Q26" i="7"/>
  <c r="Q9" i="7"/>
  <c r="Q8" i="7"/>
  <c r="Q16" i="7"/>
  <c r="Q10" i="7"/>
  <c r="Q38" i="7"/>
  <c r="Q46" i="7"/>
  <c r="Q19" i="7"/>
  <c r="Q12" i="7"/>
  <c r="Q18" i="7"/>
  <c r="Q17" i="7"/>
  <c r="Q35" i="7"/>
  <c r="Q34" i="7"/>
  <c r="Q25" i="7"/>
  <c r="Q33" i="7"/>
  <c r="Q43" i="7"/>
  <c r="Q37" i="7"/>
  <c r="Q11" i="7"/>
  <c r="Q41" i="7"/>
  <c r="Q51" i="7"/>
  <c r="Q20" i="7"/>
  <c r="Q45" i="7"/>
  <c r="Q31" i="7"/>
  <c r="Q32" i="7"/>
  <c r="Q49" i="7"/>
  <c r="Q36" i="7"/>
  <c r="Q39" i="7"/>
  <c r="Q40" i="7"/>
  <c r="Q7" i="7"/>
  <c r="Q44" i="7"/>
  <c r="Q47" i="7"/>
  <c r="Q48" i="7"/>
  <c r="Q42" i="7"/>
  <c r="Q30" i="7"/>
  <c r="Q50" i="7"/>
  <c r="O20" i="7"/>
  <c r="O16" i="7"/>
  <c r="O12" i="7"/>
  <c r="O18" i="7"/>
  <c r="O14" i="7"/>
  <c r="O10" i="7"/>
  <c r="O7" i="7"/>
  <c r="O15" i="7"/>
  <c r="O6" i="7"/>
  <c r="O11" i="7"/>
  <c r="O5" i="7"/>
  <c r="O25" i="7"/>
  <c r="O13" i="7"/>
  <c r="O8" i="7"/>
  <c r="O19" i="7"/>
  <c r="O17" i="7"/>
  <c r="O9" i="7"/>
  <c r="O21" i="7"/>
  <c r="O40" i="7"/>
  <c r="O51" i="7"/>
  <c r="O44" i="7"/>
  <c r="O30" i="7"/>
  <c r="O48" i="7"/>
  <c r="O38" i="7"/>
  <c r="O27" i="7"/>
  <c r="O26" i="7"/>
  <c r="O46" i="7"/>
  <c r="O23" i="7"/>
  <c r="O35" i="7"/>
  <c r="O24" i="7"/>
  <c r="O34" i="7"/>
  <c r="O29" i="7"/>
  <c r="O22" i="7"/>
  <c r="O33" i="7"/>
  <c r="O42" i="7"/>
  <c r="O37" i="7"/>
  <c r="O47" i="7"/>
  <c r="O41" i="7"/>
  <c r="O50" i="7"/>
  <c r="O45" i="7"/>
  <c r="O31" i="7"/>
  <c r="O49" i="7"/>
  <c r="O28" i="7"/>
  <c r="O39" i="7"/>
  <c r="O32" i="7"/>
  <c r="O43" i="7"/>
  <c r="O36" i="7"/>
  <c r="R26" i="7"/>
  <c r="R22" i="7"/>
  <c r="R29" i="7"/>
  <c r="R25" i="7"/>
  <c r="R21" i="7"/>
  <c r="R17" i="7"/>
  <c r="R13" i="7"/>
  <c r="R9" i="7"/>
  <c r="R28" i="7"/>
  <c r="R24" i="7"/>
  <c r="R20" i="7"/>
  <c r="R16" i="7"/>
  <c r="R27" i="7"/>
  <c r="R23" i="7"/>
  <c r="R19" i="7"/>
  <c r="R15" i="7"/>
  <c r="R11" i="7"/>
  <c r="R14" i="7"/>
  <c r="R5" i="7"/>
  <c r="R8" i="7"/>
  <c r="R18" i="7"/>
  <c r="R7" i="7"/>
  <c r="R12" i="7"/>
  <c r="R10" i="7"/>
  <c r="R6" i="7"/>
  <c r="R38" i="7"/>
  <c r="R41" i="7"/>
  <c r="R42" i="7"/>
  <c r="R36" i="7"/>
  <c r="R46" i="7"/>
  <c r="R32" i="7"/>
  <c r="R49" i="7"/>
  <c r="R50" i="7"/>
  <c r="R44" i="7"/>
  <c r="R40" i="7"/>
  <c r="R48" i="7"/>
  <c r="R37" i="7"/>
  <c r="R31" i="7"/>
  <c r="R35" i="7"/>
  <c r="R45" i="7"/>
  <c r="R39" i="7"/>
  <c r="R43" i="7"/>
  <c r="R30" i="7"/>
  <c r="R47" i="7"/>
  <c r="R33" i="7"/>
  <c r="R34" i="7"/>
  <c r="R51" i="7"/>
  <c r="T39" i="13"/>
  <c r="S18" i="11"/>
  <c r="T48" i="11"/>
  <c r="T48" i="12"/>
  <c r="R35" i="11"/>
  <c r="T28" i="11"/>
  <c r="P48" i="12"/>
  <c r="V48" i="11"/>
  <c r="T5" i="11"/>
  <c r="T16" i="11"/>
  <c r="T6" i="11"/>
  <c r="T26" i="11"/>
  <c r="T29" i="11"/>
  <c r="T23" i="11"/>
  <c r="T38" i="11"/>
  <c r="T20" i="11"/>
  <c r="T15" i="11"/>
  <c r="T34" i="11"/>
  <c r="T24" i="11"/>
  <c r="T35" i="11"/>
  <c r="R10" i="11"/>
  <c r="R8" i="11"/>
  <c r="R6" i="11"/>
  <c r="R11" i="11"/>
  <c r="R9" i="11"/>
  <c r="R7" i="11"/>
  <c r="R5" i="11"/>
  <c r="R16" i="11"/>
  <c r="R28" i="11"/>
  <c r="R41" i="11"/>
  <c r="R42" i="11"/>
  <c r="R14" i="11"/>
  <c r="R17" i="11"/>
  <c r="R26" i="11"/>
  <c r="R36" i="11"/>
  <c r="R13" i="11"/>
  <c r="R23" i="11"/>
  <c r="R15" i="11"/>
  <c r="R25" i="11"/>
  <c r="R34" i="11"/>
  <c r="R19" i="11"/>
  <c r="R12" i="11"/>
  <c r="R22" i="11"/>
  <c r="R31" i="11"/>
  <c r="R24" i="11"/>
  <c r="R33" i="11"/>
  <c r="R27" i="11"/>
  <c r="R21" i="11"/>
  <c r="R30" i="11"/>
  <c r="R32" i="11"/>
  <c r="R29" i="11"/>
  <c r="R40" i="11"/>
  <c r="R20" i="11"/>
  <c r="R37" i="11"/>
  <c r="R38" i="11"/>
  <c r="R39" i="11"/>
  <c r="U48" i="12"/>
  <c r="O48" i="12"/>
  <c r="M48" i="12"/>
  <c r="N48" i="12"/>
  <c r="R49" i="12"/>
  <c r="R48" i="12" s="1"/>
  <c r="W47" i="13"/>
  <c r="W47" i="12"/>
  <c r="W47" i="10"/>
  <c r="W47" i="11"/>
  <c r="AL54" i="8"/>
  <c r="AL54" i="9"/>
  <c r="AL54" i="7"/>
  <c r="AB54" i="8"/>
  <c r="AB54" i="9"/>
  <c r="AB54" i="7"/>
  <c r="Z48" i="11"/>
  <c r="R49" i="11"/>
  <c r="R48" i="11" s="1"/>
  <c r="R17" i="9"/>
  <c r="AH58" i="8"/>
  <c r="AH18" i="9" s="1"/>
  <c r="V49" i="10"/>
  <c r="Z49" i="10"/>
  <c r="U49" i="10"/>
  <c r="P49" i="10"/>
  <c r="N49" i="10"/>
  <c r="O49" i="10"/>
  <c r="M55" i="6"/>
  <c r="M60" i="6" s="1"/>
  <c r="M47" i="7" s="1"/>
  <c r="Y56" i="6"/>
  <c r="V56" i="6"/>
  <c r="V60" i="6"/>
  <c r="P6" i="25" l="1"/>
  <c r="T10" i="25"/>
  <c r="AI12" i="7"/>
  <c r="AI12" i="9" s="1"/>
  <c r="AI32" i="7"/>
  <c r="AI31" i="7"/>
  <c r="AI38" i="7"/>
  <c r="AI41" i="7"/>
  <c r="AI9" i="7"/>
  <c r="AI5" i="7"/>
  <c r="AI51" i="7"/>
  <c r="AI28" i="7"/>
  <c r="AI27" i="7"/>
  <c r="AI34" i="7"/>
  <c r="AI37" i="7"/>
  <c r="AI48" i="7"/>
  <c r="AI24" i="7"/>
  <c r="AI23" i="7"/>
  <c r="AI30" i="7"/>
  <c r="AI33" i="7"/>
  <c r="AI46" i="7"/>
  <c r="AI20" i="7"/>
  <c r="AI19" i="7"/>
  <c r="AI26" i="7"/>
  <c r="AI29" i="7"/>
  <c r="AI50" i="7"/>
  <c r="AI47" i="7"/>
  <c r="AI15" i="7"/>
  <c r="AI22" i="7"/>
  <c r="AI25" i="7"/>
  <c r="AI10" i="7"/>
  <c r="AI6" i="7"/>
  <c r="AI44" i="7"/>
  <c r="AI43" i="7"/>
  <c r="AI11" i="7"/>
  <c r="AI18" i="7"/>
  <c r="AI21" i="7"/>
  <c r="AI16" i="7"/>
  <c r="AI40" i="7"/>
  <c r="AI39" i="7"/>
  <c r="AI49" i="7"/>
  <c r="AI14" i="7"/>
  <c r="AI17" i="7"/>
  <c r="AI7" i="7"/>
  <c r="AI36" i="7"/>
  <c r="AI35" i="7"/>
  <c r="AI42" i="7"/>
  <c r="AI45" i="7"/>
  <c r="AI13" i="7"/>
  <c r="AI8" i="7"/>
  <c r="T36" i="11"/>
  <c r="T12" i="11"/>
  <c r="T30" i="11"/>
  <c r="T41" i="11"/>
  <c r="T7" i="11"/>
  <c r="Q8" i="25"/>
  <c r="P8" i="25"/>
  <c r="T42" i="11"/>
  <c r="T27" i="11"/>
  <c r="T31" i="11"/>
  <c r="T32" i="11"/>
  <c r="T9" i="11"/>
  <c r="T9" i="12" s="1"/>
  <c r="R9" i="24" s="1"/>
  <c r="R52" i="24" s="1"/>
  <c r="X48" i="7"/>
  <c r="X20" i="7"/>
  <c r="X34" i="7"/>
  <c r="X37" i="7"/>
  <c r="X8" i="7"/>
  <c r="X9" i="7"/>
  <c r="X50" i="7"/>
  <c r="X16" i="7"/>
  <c r="X30" i="7"/>
  <c r="X33" i="7"/>
  <c r="X11" i="7"/>
  <c r="X19" i="7"/>
  <c r="X23" i="7"/>
  <c r="X44" i="7"/>
  <c r="X12" i="7"/>
  <c r="X26" i="7"/>
  <c r="X29" i="7"/>
  <c r="X15" i="7"/>
  <c r="X27" i="7"/>
  <c r="X31" i="7"/>
  <c r="X40" i="7"/>
  <c r="X47" i="7"/>
  <c r="X22" i="7"/>
  <c r="X21" i="7"/>
  <c r="X35" i="7"/>
  <c r="X5" i="7"/>
  <c r="X39" i="7"/>
  <c r="X36" i="7"/>
  <c r="X43" i="7"/>
  <c r="X18" i="7"/>
  <c r="X7" i="7"/>
  <c r="X32" i="7"/>
  <c r="X49" i="7"/>
  <c r="X14" i="7"/>
  <c r="X17" i="7"/>
  <c r="X25" i="7"/>
  <c r="X6" i="7"/>
  <c r="X46" i="7"/>
  <c r="X28" i="7"/>
  <c r="X42" i="7"/>
  <c r="X45" i="7"/>
  <c r="X10" i="7"/>
  <c r="X51" i="7"/>
  <c r="X24" i="7"/>
  <c r="X38" i="7"/>
  <c r="X41" i="7"/>
  <c r="X13" i="7"/>
  <c r="T21" i="11"/>
  <c r="T21" i="12" s="1"/>
  <c r="R21" i="24" s="1"/>
  <c r="R64" i="24" s="1"/>
  <c r="T25" i="11"/>
  <c r="T22" i="11"/>
  <c r="T14" i="11"/>
  <c r="W14" i="11" s="1"/>
  <c r="T11" i="11"/>
  <c r="F6" i="25"/>
  <c r="F8" i="25"/>
  <c r="Q6" i="25"/>
  <c r="N10" i="25"/>
  <c r="X10" i="25" s="1"/>
  <c r="R8" i="25"/>
  <c r="C8" i="25"/>
  <c r="T18" i="11"/>
  <c r="T18" i="13" s="1"/>
  <c r="T17" i="11"/>
  <c r="T13" i="11"/>
  <c r="T8" i="11"/>
  <c r="T6" i="25"/>
  <c r="W8" i="25"/>
  <c r="T33" i="11"/>
  <c r="T37" i="11"/>
  <c r="T37" i="13" s="1"/>
  <c r="T40" i="11"/>
  <c r="T40" i="12" s="1"/>
  <c r="R40" i="24" s="1"/>
  <c r="R83" i="24" s="1"/>
  <c r="T10" i="11"/>
  <c r="T19" i="11"/>
  <c r="R18" i="12"/>
  <c r="S18" i="12" s="1"/>
  <c r="P9" i="25"/>
  <c r="P11" i="25"/>
  <c r="P7" i="25"/>
  <c r="O7" i="25"/>
  <c r="R20" i="24"/>
  <c r="R63" i="24" s="1"/>
  <c r="O11" i="25"/>
  <c r="E4" i="5"/>
  <c r="F4" i="5"/>
  <c r="R39" i="24"/>
  <c r="R82" i="24" s="1"/>
  <c r="E30" i="5"/>
  <c r="O9" i="25"/>
  <c r="M6" i="26"/>
  <c r="M10" i="26"/>
  <c r="M47" i="9"/>
  <c r="V47" i="7"/>
  <c r="V50" i="7"/>
  <c r="V49" i="7"/>
  <c r="V45" i="7"/>
  <c r="V41" i="7"/>
  <c r="V37" i="7"/>
  <c r="V33" i="7"/>
  <c r="V29" i="7"/>
  <c r="V25" i="7"/>
  <c r="V21" i="7"/>
  <c r="V17" i="7"/>
  <c r="V13" i="7"/>
  <c r="V44" i="7"/>
  <c r="V40" i="7"/>
  <c r="V51" i="7"/>
  <c r="V43" i="7"/>
  <c r="V39" i="7"/>
  <c r="V35" i="7"/>
  <c r="V31" i="7"/>
  <c r="V27" i="7"/>
  <c r="V23" i="7"/>
  <c r="V19" i="7"/>
  <c r="V15" i="7"/>
  <c r="V11" i="7"/>
  <c r="V48" i="7"/>
  <c r="V46" i="7"/>
  <c r="V42" i="7"/>
  <c r="V38" i="7"/>
  <c r="V34" i="7"/>
  <c r="V30" i="7"/>
  <c r="V36" i="7"/>
  <c r="V28" i="7"/>
  <c r="V22" i="7"/>
  <c r="V14" i="7"/>
  <c r="V8" i="7"/>
  <c r="V24" i="7"/>
  <c r="V9" i="7"/>
  <c r="V7" i="7"/>
  <c r="V32" i="7"/>
  <c r="V26" i="7"/>
  <c r="V18" i="7"/>
  <c r="V10" i="7"/>
  <c r="V6" i="7"/>
  <c r="V12" i="7"/>
  <c r="V20" i="7"/>
  <c r="V16" i="7"/>
  <c r="V5" i="7"/>
  <c r="P16" i="11"/>
  <c r="P10" i="11"/>
  <c r="P8" i="11"/>
  <c r="P6" i="11"/>
  <c r="P11" i="11"/>
  <c r="P9" i="11"/>
  <c r="P7" i="11"/>
  <c r="P5" i="11"/>
  <c r="P29" i="11"/>
  <c r="P13" i="11"/>
  <c r="P31" i="11"/>
  <c r="P32" i="11"/>
  <c r="P17" i="11"/>
  <c r="P19" i="11"/>
  <c r="P20" i="11"/>
  <c r="P37" i="11"/>
  <c r="P22" i="11"/>
  <c r="P27" i="11"/>
  <c r="P28" i="11"/>
  <c r="P30" i="11"/>
  <c r="P33" i="11"/>
  <c r="P18" i="11"/>
  <c r="P35" i="11"/>
  <c r="P41" i="11"/>
  <c r="P26" i="11"/>
  <c r="P34" i="11"/>
  <c r="P42" i="11"/>
  <c r="P12" i="11"/>
  <c r="P14" i="11"/>
  <c r="P15" i="11"/>
  <c r="P36" i="11"/>
  <c r="P21" i="11"/>
  <c r="P23" i="11"/>
  <c r="P24" i="11"/>
  <c r="P40" i="11"/>
  <c r="P38" i="11"/>
  <c r="P39" i="11"/>
  <c r="P25" i="11"/>
  <c r="R39" i="12"/>
  <c r="S39" i="11"/>
  <c r="R39" i="13"/>
  <c r="S39" i="13" s="1"/>
  <c r="R21" i="12"/>
  <c r="S21" i="12" s="1"/>
  <c r="S21" i="11"/>
  <c r="R21" i="13"/>
  <c r="S21" i="13" s="1"/>
  <c r="R34" i="12"/>
  <c r="S34" i="11"/>
  <c r="R34" i="13"/>
  <c r="S34" i="13" s="1"/>
  <c r="R14" i="12"/>
  <c r="S14" i="11"/>
  <c r="R14" i="13"/>
  <c r="S14" i="13" s="1"/>
  <c r="R11" i="12"/>
  <c r="S11" i="12" s="1"/>
  <c r="S11" i="11"/>
  <c r="R11" i="13"/>
  <c r="S11" i="13" s="1"/>
  <c r="T33" i="12"/>
  <c r="R33" i="24" s="1"/>
  <c r="R76" i="24" s="1"/>
  <c r="T33" i="13"/>
  <c r="T37" i="12"/>
  <c r="T40" i="13"/>
  <c r="T10" i="12"/>
  <c r="R10" i="24" s="1"/>
  <c r="R53" i="24" s="1"/>
  <c r="T10" i="13"/>
  <c r="T19" i="12"/>
  <c r="R19" i="24" s="1"/>
  <c r="R62" i="24" s="1"/>
  <c r="T19" i="13"/>
  <c r="R30" i="9"/>
  <c r="R40" i="9"/>
  <c r="R41" i="9"/>
  <c r="R5" i="9"/>
  <c r="R53" i="7"/>
  <c r="R20" i="9"/>
  <c r="R29" i="9"/>
  <c r="O49" i="9"/>
  <c r="O33" i="9"/>
  <c r="O26" i="9"/>
  <c r="O21" i="9"/>
  <c r="O11" i="9"/>
  <c r="O16" i="9"/>
  <c r="Q44" i="9"/>
  <c r="Q45" i="9"/>
  <c r="Q25" i="9"/>
  <c r="Q38" i="9"/>
  <c r="Q14" i="9"/>
  <c r="Q23" i="9"/>
  <c r="M49" i="7"/>
  <c r="M35" i="7"/>
  <c r="W16" i="9"/>
  <c r="W17" i="9"/>
  <c r="W18" i="9"/>
  <c r="W49" i="9"/>
  <c r="W39" i="9"/>
  <c r="W40" i="9"/>
  <c r="AH50" i="9"/>
  <c r="AH24" i="9"/>
  <c r="AH37" i="9"/>
  <c r="AH39" i="9"/>
  <c r="AH14" i="9"/>
  <c r="AH15" i="9"/>
  <c r="P44" i="9"/>
  <c r="P50" i="9"/>
  <c r="P37" i="9"/>
  <c r="P11" i="9"/>
  <c r="P28" i="9"/>
  <c r="P22" i="9"/>
  <c r="M39" i="12"/>
  <c r="M39" i="13"/>
  <c r="M27" i="12"/>
  <c r="M27" i="13"/>
  <c r="M40" i="12"/>
  <c r="M40" i="13"/>
  <c r="M15" i="12"/>
  <c r="M15" i="13"/>
  <c r="M7" i="12"/>
  <c r="M7" i="13"/>
  <c r="Z53" i="8"/>
  <c r="U17" i="9"/>
  <c r="U18" i="9"/>
  <c r="U15" i="9"/>
  <c r="U51" i="9"/>
  <c r="U40" i="9"/>
  <c r="U45" i="9"/>
  <c r="M50" i="7"/>
  <c r="L50" i="9"/>
  <c r="L39" i="9"/>
  <c r="L11" i="9"/>
  <c r="L41" i="9"/>
  <c r="L22" i="9"/>
  <c r="L13" i="9"/>
  <c r="AD24" i="7"/>
  <c r="AC24" i="9"/>
  <c r="AD24" i="9" s="1"/>
  <c r="AD44" i="7"/>
  <c r="AC44" i="9"/>
  <c r="AD44" i="9" s="1"/>
  <c r="AD51" i="7"/>
  <c r="AC51" i="9"/>
  <c r="AD51" i="9" s="1"/>
  <c r="AD22" i="7"/>
  <c r="AC22" i="9"/>
  <c r="AD22" i="9" s="1"/>
  <c r="AD15" i="7"/>
  <c r="AC15" i="9"/>
  <c r="AD15" i="9" s="1"/>
  <c r="AD14" i="7"/>
  <c r="AC14" i="9"/>
  <c r="AD14" i="9" s="1"/>
  <c r="R38" i="12"/>
  <c r="S38" i="12" s="1"/>
  <c r="S38" i="11"/>
  <c r="R38" i="13"/>
  <c r="S38" i="13" s="1"/>
  <c r="R27" i="12"/>
  <c r="S27" i="12" s="1"/>
  <c r="S27" i="11"/>
  <c r="R27" i="13"/>
  <c r="S27" i="13" s="1"/>
  <c r="R25" i="12"/>
  <c r="S25" i="11"/>
  <c r="R25" i="13"/>
  <c r="S25" i="13" s="1"/>
  <c r="S42" i="11"/>
  <c r="R42" i="12"/>
  <c r="R42" i="13"/>
  <c r="S42" i="13" s="1"/>
  <c r="R6" i="12"/>
  <c r="S6" i="11"/>
  <c r="R6" i="13"/>
  <c r="S6" i="13" s="1"/>
  <c r="T24" i="12"/>
  <c r="T24" i="13"/>
  <c r="T20" i="12"/>
  <c r="T20" i="13"/>
  <c r="T29" i="12"/>
  <c r="R29" i="24" s="1"/>
  <c r="R72" i="24" s="1"/>
  <c r="T29" i="13"/>
  <c r="T16" i="12"/>
  <c r="R16" i="24" s="1"/>
  <c r="R59" i="24" s="1"/>
  <c r="T16" i="13"/>
  <c r="T28" i="12"/>
  <c r="T28" i="13"/>
  <c r="R43" i="9"/>
  <c r="R44" i="9"/>
  <c r="R38" i="9"/>
  <c r="R14" i="9"/>
  <c r="R24" i="9"/>
  <c r="R22" i="9"/>
  <c r="O31" i="9"/>
  <c r="O22" i="9"/>
  <c r="O27" i="9"/>
  <c r="O9" i="9"/>
  <c r="O6" i="9"/>
  <c r="O20" i="9"/>
  <c r="Q7" i="9"/>
  <c r="Q20" i="9"/>
  <c r="Q34" i="9"/>
  <c r="Q10" i="9"/>
  <c r="Q22" i="9"/>
  <c r="Q27" i="9"/>
  <c r="AA53" i="8"/>
  <c r="M21" i="7"/>
  <c r="M44" i="7"/>
  <c r="W12" i="9"/>
  <c r="W21" i="9"/>
  <c r="W22" i="9"/>
  <c r="W11" i="9"/>
  <c r="W43" i="9"/>
  <c r="W44" i="9"/>
  <c r="AH49" i="9"/>
  <c r="AH36" i="9"/>
  <c r="AH51" i="9"/>
  <c r="AH27" i="9"/>
  <c r="AH7" i="9"/>
  <c r="AH19" i="9"/>
  <c r="P35" i="9"/>
  <c r="P32" i="9"/>
  <c r="P51" i="9"/>
  <c r="P6" i="9"/>
  <c r="P17" i="9"/>
  <c r="P26" i="9"/>
  <c r="M37" i="12"/>
  <c r="M37" i="13"/>
  <c r="M26" i="12"/>
  <c r="M26" i="13"/>
  <c r="M32" i="12"/>
  <c r="M32" i="13"/>
  <c r="M22" i="12"/>
  <c r="M22" i="13"/>
  <c r="M9" i="12"/>
  <c r="M9" i="13"/>
  <c r="U7" i="9"/>
  <c r="U22" i="9"/>
  <c r="U19" i="9"/>
  <c r="U12" i="9"/>
  <c r="U44" i="9"/>
  <c r="U50" i="9"/>
  <c r="L17" i="9"/>
  <c r="L7" i="9"/>
  <c r="L46" i="9"/>
  <c r="L40" i="9"/>
  <c r="L16" i="9"/>
  <c r="L21" i="9"/>
  <c r="AD46" i="7"/>
  <c r="AC46" i="9"/>
  <c r="AD46" i="9" s="1"/>
  <c r="AD37" i="7"/>
  <c r="AC37" i="9"/>
  <c r="AD37" i="9" s="1"/>
  <c r="AD26" i="7"/>
  <c r="AC26" i="9"/>
  <c r="AD26" i="9" s="1"/>
  <c r="AD10" i="7"/>
  <c r="AC10" i="9"/>
  <c r="AD10" i="9" s="1"/>
  <c r="AD19" i="7"/>
  <c r="AC19" i="9"/>
  <c r="AD19" i="9" s="1"/>
  <c r="AD18" i="7"/>
  <c r="AC18" i="9"/>
  <c r="AD18" i="9" s="1"/>
  <c r="M15" i="7"/>
  <c r="M9" i="7"/>
  <c r="M16" i="7"/>
  <c r="M10" i="7"/>
  <c r="M6" i="7"/>
  <c r="M5" i="7"/>
  <c r="M14" i="7"/>
  <c r="M22" i="7"/>
  <c r="M36" i="7"/>
  <c r="M8" i="7"/>
  <c r="Z16" i="11"/>
  <c r="Z10" i="11"/>
  <c r="Z8" i="11"/>
  <c r="Z6" i="11"/>
  <c r="Z11" i="11"/>
  <c r="Z9" i="11"/>
  <c r="Z7" i="11"/>
  <c r="Z5" i="11"/>
  <c r="Z22" i="11"/>
  <c r="Z14" i="11"/>
  <c r="Z24" i="11"/>
  <c r="Z25" i="11"/>
  <c r="Z42" i="11"/>
  <c r="Z19" i="11"/>
  <c r="Z12" i="11"/>
  <c r="Z30" i="11"/>
  <c r="Z23" i="11"/>
  <c r="Z20" i="11"/>
  <c r="Z21" i="11"/>
  <c r="Z31" i="11"/>
  <c r="Z35" i="11"/>
  <c r="Z38" i="11"/>
  <c r="Z40" i="11"/>
  <c r="Z41" i="11"/>
  <c r="Z28" i="11"/>
  <c r="Z29" i="11"/>
  <c r="Z39" i="11"/>
  <c r="Z37" i="11"/>
  <c r="Z26" i="11"/>
  <c r="Z36" i="11"/>
  <c r="Z13" i="11"/>
  <c r="Z15" i="11"/>
  <c r="Z17" i="11"/>
  <c r="Z34" i="11"/>
  <c r="Z18" i="11"/>
  <c r="Z33" i="11"/>
  <c r="Z27" i="11"/>
  <c r="Z32" i="11"/>
  <c r="S37" i="11"/>
  <c r="R37" i="12"/>
  <c r="R37" i="13"/>
  <c r="S37" i="13" s="1"/>
  <c r="S33" i="11"/>
  <c r="R33" i="12"/>
  <c r="S33" i="12" s="1"/>
  <c r="R33" i="13"/>
  <c r="S33" i="13" s="1"/>
  <c r="R15" i="12"/>
  <c r="S15" i="11"/>
  <c r="R15" i="13"/>
  <c r="S15" i="13" s="1"/>
  <c r="R41" i="12"/>
  <c r="S41" i="11"/>
  <c r="R41" i="13"/>
  <c r="S41" i="13" s="1"/>
  <c r="R8" i="12"/>
  <c r="S8" i="12" s="1"/>
  <c r="S8" i="11"/>
  <c r="R8" i="13"/>
  <c r="S8" i="13" s="1"/>
  <c r="T34" i="12"/>
  <c r="R34" i="24" s="1"/>
  <c r="R77" i="24" s="1"/>
  <c r="T34" i="13"/>
  <c r="T38" i="12"/>
  <c r="R38" i="24" s="1"/>
  <c r="R81" i="24" s="1"/>
  <c r="T38" i="13"/>
  <c r="T26" i="12"/>
  <c r="R26" i="24" s="1"/>
  <c r="R69" i="24" s="1"/>
  <c r="T26" i="13"/>
  <c r="T5" i="12"/>
  <c r="R5" i="24" s="1"/>
  <c r="R48" i="24" s="1"/>
  <c r="T44" i="11"/>
  <c r="T5" i="13"/>
  <c r="R35" i="12"/>
  <c r="S35" i="11"/>
  <c r="R35" i="13"/>
  <c r="S35" i="13" s="1"/>
  <c r="R39" i="9"/>
  <c r="R50" i="9"/>
  <c r="R6" i="9"/>
  <c r="R11" i="9"/>
  <c r="R28" i="9"/>
  <c r="R26" i="9"/>
  <c r="O45" i="9"/>
  <c r="O29" i="9"/>
  <c r="O38" i="9"/>
  <c r="O17" i="9"/>
  <c r="O15" i="9"/>
  <c r="M41" i="7"/>
  <c r="Q40" i="9"/>
  <c r="Q51" i="9"/>
  <c r="Q35" i="9"/>
  <c r="Q16" i="9"/>
  <c r="Q6" i="9"/>
  <c r="M27" i="7"/>
  <c r="M30" i="7"/>
  <c r="M12" i="7"/>
  <c r="W6" i="9"/>
  <c r="W25" i="9"/>
  <c r="W26" i="9"/>
  <c r="W15" i="9"/>
  <c r="W47" i="9"/>
  <c r="W50" i="9"/>
  <c r="AH23" i="9"/>
  <c r="AH45" i="9"/>
  <c r="AH26" i="9"/>
  <c r="AH48" i="9"/>
  <c r="AH8" i="9"/>
  <c r="AH13" i="9"/>
  <c r="P41" i="9"/>
  <c r="P46" i="9"/>
  <c r="P47" i="9"/>
  <c r="P15" i="9"/>
  <c r="P21" i="9"/>
  <c r="P19" i="9"/>
  <c r="M35" i="12"/>
  <c r="M35" i="24" s="1"/>
  <c r="M78" i="24" s="1"/>
  <c r="M35" i="13"/>
  <c r="M25" i="12"/>
  <c r="M25" i="24" s="1"/>
  <c r="M68" i="24" s="1"/>
  <c r="M25" i="13"/>
  <c r="M38" i="12"/>
  <c r="M38" i="13"/>
  <c r="M21" i="12"/>
  <c r="M21" i="24" s="1"/>
  <c r="M64" i="24" s="1"/>
  <c r="M21" i="13"/>
  <c r="M11" i="12"/>
  <c r="M11" i="24" s="1"/>
  <c r="M54" i="24" s="1"/>
  <c r="M11" i="13"/>
  <c r="M43" i="7"/>
  <c r="U9" i="9"/>
  <c r="U26" i="9"/>
  <c r="U23" i="9"/>
  <c r="U16" i="9"/>
  <c r="U21" i="9"/>
  <c r="U46" i="9"/>
  <c r="S46" i="13"/>
  <c r="S46" i="12"/>
  <c r="S46" i="10"/>
  <c r="S46" i="11"/>
  <c r="M17" i="7"/>
  <c r="L47" i="9"/>
  <c r="L36" i="9"/>
  <c r="L19" i="9"/>
  <c r="L53" i="7"/>
  <c r="L58" i="7" s="1"/>
  <c r="L26" i="8" s="1"/>
  <c r="L5" i="9"/>
  <c r="L28" i="9"/>
  <c r="L29" i="9"/>
  <c r="AD50" i="7"/>
  <c r="AC50" i="9"/>
  <c r="AD50" i="9" s="1"/>
  <c r="AD34" i="7"/>
  <c r="AC34" i="9"/>
  <c r="AD34" i="9" s="1"/>
  <c r="AD32" i="7"/>
  <c r="AC32" i="9"/>
  <c r="AD32" i="9" s="1"/>
  <c r="AD6" i="7"/>
  <c r="AC6" i="9"/>
  <c r="AD6" i="9" s="1"/>
  <c r="AD17" i="7"/>
  <c r="AC17" i="9"/>
  <c r="AD17" i="9" s="1"/>
  <c r="M48" i="7"/>
  <c r="V54" i="9"/>
  <c r="V54" i="8"/>
  <c r="V58" i="8" s="1"/>
  <c r="V23" i="9" s="1"/>
  <c r="V54" i="7"/>
  <c r="U11" i="11"/>
  <c r="U9" i="11"/>
  <c r="U7" i="11"/>
  <c r="U5" i="11"/>
  <c r="U16" i="11"/>
  <c r="U10" i="11"/>
  <c r="U8" i="11"/>
  <c r="U6" i="11"/>
  <c r="U12" i="11"/>
  <c r="U30" i="11"/>
  <c r="U18" i="11"/>
  <c r="U19" i="11"/>
  <c r="U20" i="11"/>
  <c r="U26" i="11"/>
  <c r="U27" i="11"/>
  <c r="U28" i="11"/>
  <c r="U29" i="11"/>
  <c r="U23" i="11"/>
  <c r="W23" i="11" s="1"/>
  <c r="U17" i="11"/>
  <c r="U34" i="11"/>
  <c r="U35" i="11"/>
  <c r="U36" i="11"/>
  <c r="U31" i="11"/>
  <c r="U40" i="11"/>
  <c r="U25" i="11"/>
  <c r="U15" i="11"/>
  <c r="U33" i="11"/>
  <c r="U24" i="11"/>
  <c r="U41" i="11"/>
  <c r="U13" i="11"/>
  <c r="U32" i="11"/>
  <c r="W32" i="11" s="1"/>
  <c r="U22" i="11"/>
  <c r="U21" i="11"/>
  <c r="U38" i="11"/>
  <c r="U14" i="11"/>
  <c r="U42" i="11"/>
  <c r="U39" i="11"/>
  <c r="U37" i="11"/>
  <c r="V11" i="11"/>
  <c r="V9" i="11"/>
  <c r="V7" i="11"/>
  <c r="V5" i="11"/>
  <c r="V16" i="11"/>
  <c r="V10" i="11"/>
  <c r="V8" i="11"/>
  <c r="V6" i="11"/>
  <c r="V18" i="11"/>
  <c r="V27" i="11"/>
  <c r="V38" i="11"/>
  <c r="V26" i="11"/>
  <c r="V15" i="11"/>
  <c r="V35" i="11"/>
  <c r="V40" i="11"/>
  <c r="V14" i="11"/>
  <c r="V24" i="11"/>
  <c r="V20" i="11"/>
  <c r="V12" i="11"/>
  <c r="V13" i="11"/>
  <c r="V23" i="11"/>
  <c r="V32" i="11"/>
  <c r="V17" i="11"/>
  <c r="V34" i="11"/>
  <c r="V28" i="11"/>
  <c r="V21" i="11"/>
  <c r="V22" i="11"/>
  <c r="V36" i="11"/>
  <c r="V29" i="11"/>
  <c r="V30" i="11"/>
  <c r="V39" i="11"/>
  <c r="V33" i="11"/>
  <c r="V19" i="11"/>
  <c r="V37" i="11"/>
  <c r="V41" i="11"/>
  <c r="V31" i="11"/>
  <c r="W31" i="11" s="1"/>
  <c r="V25" i="11"/>
  <c r="W25" i="11" s="1"/>
  <c r="V42" i="11"/>
  <c r="T36" i="12"/>
  <c r="T36" i="13"/>
  <c r="R20" i="12"/>
  <c r="S20" i="11"/>
  <c r="R20" i="13"/>
  <c r="S20" i="13" s="1"/>
  <c r="R24" i="12"/>
  <c r="S24" i="11"/>
  <c r="R24" i="13"/>
  <c r="S24" i="13" s="1"/>
  <c r="R23" i="12"/>
  <c r="S23" i="11"/>
  <c r="R23" i="13"/>
  <c r="S23" i="13" s="1"/>
  <c r="R28" i="12"/>
  <c r="S28" i="11"/>
  <c r="R28" i="13"/>
  <c r="S28" i="13" s="1"/>
  <c r="R10" i="12"/>
  <c r="S10" i="11"/>
  <c r="R10" i="13"/>
  <c r="S10" i="13" s="1"/>
  <c r="T12" i="12"/>
  <c r="T12" i="13"/>
  <c r="T30" i="12"/>
  <c r="T30" i="13"/>
  <c r="T41" i="12"/>
  <c r="T41" i="13"/>
  <c r="T7" i="12"/>
  <c r="T7" i="13"/>
  <c r="M19" i="7"/>
  <c r="R45" i="9"/>
  <c r="R49" i="9"/>
  <c r="R10" i="9"/>
  <c r="R15" i="9"/>
  <c r="R9" i="9"/>
  <c r="O36" i="9"/>
  <c r="O50" i="9"/>
  <c r="O34" i="9"/>
  <c r="O48" i="9"/>
  <c r="O19" i="9"/>
  <c r="O7" i="9"/>
  <c r="Q50" i="9"/>
  <c r="Q39" i="9"/>
  <c r="Q41" i="9"/>
  <c r="Q17" i="9"/>
  <c r="Q8" i="9"/>
  <c r="Q28" i="9"/>
  <c r="M32" i="7"/>
  <c r="M25" i="7"/>
  <c r="W10" i="9"/>
  <c r="W29" i="9"/>
  <c r="W30" i="9"/>
  <c r="W19" i="9"/>
  <c r="W20" i="9"/>
  <c r="W48" i="9"/>
  <c r="AH38" i="9"/>
  <c r="AH34" i="9"/>
  <c r="AH29" i="9"/>
  <c r="AH31" i="9"/>
  <c r="AH20" i="9"/>
  <c r="AH17" i="9"/>
  <c r="P31" i="9"/>
  <c r="P42" i="9"/>
  <c r="P43" i="9"/>
  <c r="P8" i="9"/>
  <c r="P25" i="9"/>
  <c r="P23" i="9"/>
  <c r="M34" i="12"/>
  <c r="M34" i="13"/>
  <c r="M23" i="12"/>
  <c r="M23" i="13"/>
  <c r="M20" i="12"/>
  <c r="M20" i="13"/>
  <c r="M6" i="12"/>
  <c r="M6" i="13"/>
  <c r="M7" i="7"/>
  <c r="U13" i="9"/>
  <c r="U30" i="9"/>
  <c r="U27" i="9"/>
  <c r="U20" i="9"/>
  <c r="U25" i="9"/>
  <c r="U47" i="9"/>
  <c r="M33" i="7"/>
  <c r="L44" i="9"/>
  <c r="L43" i="8"/>
  <c r="L43" i="9"/>
  <c r="L48" i="9"/>
  <c r="L26" i="9"/>
  <c r="L8" i="9"/>
  <c r="AD35" i="7"/>
  <c r="AC35" i="9"/>
  <c r="AD35" i="9" s="1"/>
  <c r="AD38" i="7"/>
  <c r="AC38" i="9"/>
  <c r="AD38" i="9" s="1"/>
  <c r="AD40" i="7"/>
  <c r="AC40" i="9"/>
  <c r="AD40" i="9" s="1"/>
  <c r="AD31" i="7"/>
  <c r="AC31" i="9"/>
  <c r="AD31" i="9" s="1"/>
  <c r="AD13" i="7"/>
  <c r="AC13" i="9"/>
  <c r="AD13" i="9" s="1"/>
  <c r="AD5" i="7"/>
  <c r="AC5" i="9"/>
  <c r="AC53" i="7"/>
  <c r="AC58" i="7" s="1"/>
  <c r="AC14" i="8" s="1"/>
  <c r="M51" i="7"/>
  <c r="L45" i="13"/>
  <c r="L45" i="12"/>
  <c r="L49" i="12" s="1"/>
  <c r="L45" i="11"/>
  <c r="L49" i="11" s="1"/>
  <c r="L45" i="10"/>
  <c r="R40" i="12"/>
  <c r="S40" i="11"/>
  <c r="R40" i="13"/>
  <c r="S40" i="13" s="1"/>
  <c r="R31" i="12"/>
  <c r="S31" i="11"/>
  <c r="R31" i="13"/>
  <c r="S31" i="13" s="1"/>
  <c r="R13" i="12"/>
  <c r="S13" i="11"/>
  <c r="R13" i="13"/>
  <c r="S13" i="13" s="1"/>
  <c r="R16" i="12"/>
  <c r="S16" i="12" s="1"/>
  <c r="S16" i="11"/>
  <c r="R16" i="13"/>
  <c r="S16" i="13" s="1"/>
  <c r="T42" i="12"/>
  <c r="R42" i="24" s="1"/>
  <c r="R85" i="24" s="1"/>
  <c r="T42" i="13"/>
  <c r="T27" i="12"/>
  <c r="T27" i="13"/>
  <c r="T31" i="12"/>
  <c r="T31" i="13"/>
  <c r="T32" i="12"/>
  <c r="T32" i="13"/>
  <c r="T9" i="13"/>
  <c r="R51" i="9"/>
  <c r="R35" i="9"/>
  <c r="R32" i="9"/>
  <c r="R12" i="9"/>
  <c r="R19" i="9"/>
  <c r="R13" i="9"/>
  <c r="O43" i="9"/>
  <c r="O41" i="9"/>
  <c r="O24" i="9"/>
  <c r="O30" i="9"/>
  <c r="O8" i="9"/>
  <c r="O10" i="9"/>
  <c r="Q30" i="9"/>
  <c r="Q36" i="9"/>
  <c r="Q11" i="9"/>
  <c r="Q18" i="9"/>
  <c r="Q9" i="9"/>
  <c r="Q13" i="9"/>
  <c r="M45" i="7"/>
  <c r="M34" i="7"/>
  <c r="W7" i="9"/>
  <c r="W33" i="9"/>
  <c r="W34" i="9"/>
  <c r="W23" i="9"/>
  <c r="W24" i="9"/>
  <c r="W51" i="9"/>
  <c r="AH44" i="9"/>
  <c r="AH33" i="9"/>
  <c r="AH43" i="9"/>
  <c r="AH5" i="9"/>
  <c r="AH53" i="7"/>
  <c r="AH58" i="7" s="1"/>
  <c r="AH24" i="8" s="1"/>
  <c r="AD24" i="23" s="1"/>
  <c r="AD76" i="23" s="1"/>
  <c r="AH16" i="9"/>
  <c r="AH25" i="9"/>
  <c r="P36" i="9"/>
  <c r="P38" i="9"/>
  <c r="P7" i="9"/>
  <c r="P12" i="9"/>
  <c r="P29" i="9"/>
  <c r="P27" i="9"/>
  <c r="M33" i="12"/>
  <c r="M33" i="13"/>
  <c r="M17" i="12"/>
  <c r="M17" i="24" s="1"/>
  <c r="M60" i="24" s="1"/>
  <c r="M17" i="13"/>
  <c r="M24" i="12"/>
  <c r="M24" i="24" s="1"/>
  <c r="M67" i="24" s="1"/>
  <c r="M24" i="13"/>
  <c r="M8" i="12"/>
  <c r="M8" i="24" s="1"/>
  <c r="M51" i="24" s="1"/>
  <c r="M8" i="13"/>
  <c r="M29" i="7"/>
  <c r="U8" i="9"/>
  <c r="U34" i="9"/>
  <c r="U31" i="9"/>
  <c r="U24" i="9"/>
  <c r="U29" i="9"/>
  <c r="U49" i="9"/>
  <c r="L45" i="8"/>
  <c r="L45" i="9"/>
  <c r="L12" i="8"/>
  <c r="L12" i="9"/>
  <c r="L34" i="9"/>
  <c r="L38" i="8"/>
  <c r="L38" i="9"/>
  <c r="L6" i="8"/>
  <c r="L6" i="23" s="1"/>
  <c r="L58" i="23" s="1"/>
  <c r="L6" i="9"/>
  <c r="L9" i="8"/>
  <c r="L9" i="9"/>
  <c r="AD49" i="7"/>
  <c r="AC49" i="9"/>
  <c r="AD49" i="9" s="1"/>
  <c r="AD42" i="7"/>
  <c r="AC42" i="9"/>
  <c r="AD42" i="9" s="1"/>
  <c r="AD39" i="7"/>
  <c r="AC39" i="8"/>
  <c r="AC39" i="9"/>
  <c r="AD39" i="9" s="1"/>
  <c r="AD28" i="7"/>
  <c r="AC28" i="9"/>
  <c r="AD28" i="9" s="1"/>
  <c r="AD9" i="7"/>
  <c r="AC9" i="8"/>
  <c r="AC9" i="9"/>
  <c r="AD9" i="9" s="1"/>
  <c r="AD25" i="7"/>
  <c r="AC25" i="9"/>
  <c r="AD25" i="9" s="1"/>
  <c r="M23" i="7"/>
  <c r="Y60" i="6"/>
  <c r="Y54" i="8"/>
  <c r="Y58" i="8" s="1"/>
  <c r="Y54" i="9"/>
  <c r="Y54" i="7"/>
  <c r="R29" i="12"/>
  <c r="S29" i="11"/>
  <c r="R29" i="13"/>
  <c r="S29" i="13" s="1"/>
  <c r="R22" i="12"/>
  <c r="S22" i="12" s="1"/>
  <c r="S22" i="11"/>
  <c r="R22" i="13"/>
  <c r="S22" i="13" s="1"/>
  <c r="R36" i="12"/>
  <c r="S36" i="11"/>
  <c r="R36" i="13"/>
  <c r="S36" i="13" s="1"/>
  <c r="R5" i="12"/>
  <c r="S5" i="11"/>
  <c r="R5" i="13"/>
  <c r="R44" i="11"/>
  <c r="T21" i="13"/>
  <c r="T25" i="12"/>
  <c r="T25" i="13"/>
  <c r="T22" i="12"/>
  <c r="T22" i="13"/>
  <c r="T11" i="12"/>
  <c r="T11" i="13"/>
  <c r="R18" i="13"/>
  <c r="R34" i="9"/>
  <c r="R31" i="9"/>
  <c r="R46" i="9"/>
  <c r="R7" i="9"/>
  <c r="R23" i="9"/>
  <c r="O32" i="9"/>
  <c r="O47" i="9"/>
  <c r="O35" i="9"/>
  <c r="O44" i="9"/>
  <c r="O13" i="9"/>
  <c r="O14" i="9"/>
  <c r="Q42" i="9"/>
  <c r="Q49" i="9"/>
  <c r="Q37" i="9"/>
  <c r="Q12" i="9"/>
  <c r="Q26" i="9"/>
  <c r="Q21" i="9"/>
  <c r="M13" i="7"/>
  <c r="M38" i="7"/>
  <c r="W8" i="9"/>
  <c r="W37" i="9"/>
  <c r="W38" i="9"/>
  <c r="W27" i="9"/>
  <c r="W28" i="9"/>
  <c r="M39" i="7"/>
  <c r="AH42" i="9"/>
  <c r="AH21" i="8"/>
  <c r="AD21" i="23" s="1"/>
  <c r="AD73" i="23" s="1"/>
  <c r="AH21" i="9"/>
  <c r="AH47" i="8"/>
  <c r="AH47" i="9"/>
  <c r="AH10" i="9"/>
  <c r="AH12" i="9"/>
  <c r="M20" i="7"/>
  <c r="P33" i="9"/>
  <c r="P45" i="9"/>
  <c r="P9" i="9"/>
  <c r="P16" i="9"/>
  <c r="P10" i="9"/>
  <c r="M42" i="12"/>
  <c r="M42" i="24" s="1"/>
  <c r="M85" i="24" s="1"/>
  <c r="M42" i="13"/>
  <c r="M31" i="12"/>
  <c r="M31" i="13"/>
  <c r="M14" i="12"/>
  <c r="M14" i="24" s="1"/>
  <c r="M57" i="24" s="1"/>
  <c r="M14" i="13"/>
  <c r="M30" i="12"/>
  <c r="M30" i="24" s="1"/>
  <c r="M73" i="24" s="1"/>
  <c r="M30" i="13"/>
  <c r="M10" i="12"/>
  <c r="M10" i="24" s="1"/>
  <c r="M53" i="24" s="1"/>
  <c r="M10" i="13"/>
  <c r="M40" i="7"/>
  <c r="U11" i="9"/>
  <c r="U38" i="9"/>
  <c r="U35" i="9"/>
  <c r="U28" i="9"/>
  <c r="U33" i="9"/>
  <c r="M42" i="7"/>
  <c r="L33" i="8"/>
  <c r="L33" i="9"/>
  <c r="L25" i="8"/>
  <c r="L25" i="9"/>
  <c r="L31" i="8"/>
  <c r="L31" i="9"/>
  <c r="L49" i="9"/>
  <c r="L14" i="8"/>
  <c r="L14" i="9"/>
  <c r="L15" i="8"/>
  <c r="L15" i="9"/>
  <c r="AC45" i="8"/>
  <c r="AD45" i="8" s="1"/>
  <c r="AD45" i="7"/>
  <c r="AC45" i="9"/>
  <c r="AD45" i="9" s="1"/>
  <c r="AD48" i="7"/>
  <c r="AC48" i="9"/>
  <c r="AD48" i="9" s="1"/>
  <c r="AD36" i="7"/>
  <c r="AC36" i="8"/>
  <c r="AC36" i="9"/>
  <c r="AD36" i="9" s="1"/>
  <c r="AD21" i="7"/>
  <c r="AC21" i="9"/>
  <c r="AD21" i="9" s="1"/>
  <c r="AD7" i="7"/>
  <c r="AC7" i="8"/>
  <c r="AC7" i="9"/>
  <c r="AD7" i="9" s="1"/>
  <c r="AD12" i="7"/>
  <c r="AC12" i="8"/>
  <c r="AC12" i="9"/>
  <c r="AD12" i="9" s="1"/>
  <c r="M37" i="7"/>
  <c r="R32" i="12"/>
  <c r="S32" i="11"/>
  <c r="R32" i="13"/>
  <c r="S32" i="13" s="1"/>
  <c r="R12" i="12"/>
  <c r="S12" i="11"/>
  <c r="R12" i="13"/>
  <c r="S12" i="13" s="1"/>
  <c r="R26" i="12"/>
  <c r="S26" i="11"/>
  <c r="R26" i="13"/>
  <c r="S26" i="13" s="1"/>
  <c r="R7" i="12"/>
  <c r="S7" i="11"/>
  <c r="R7" i="13"/>
  <c r="S7" i="13" s="1"/>
  <c r="T35" i="12"/>
  <c r="T35" i="13"/>
  <c r="W15" i="11"/>
  <c r="T15" i="12"/>
  <c r="T15" i="13"/>
  <c r="T23" i="12"/>
  <c r="T23" i="13"/>
  <c r="T6" i="12"/>
  <c r="T6" i="13"/>
  <c r="R33" i="9"/>
  <c r="R37" i="9"/>
  <c r="R36" i="9"/>
  <c r="R18" i="9"/>
  <c r="R27" i="9"/>
  <c r="R21" i="9"/>
  <c r="O39" i="9"/>
  <c r="O37" i="9"/>
  <c r="O23" i="9"/>
  <c r="O51" i="9"/>
  <c r="O25" i="9"/>
  <c r="O18" i="9"/>
  <c r="Q48" i="9"/>
  <c r="Q32" i="9"/>
  <c r="Q43" i="9"/>
  <c r="Q19" i="9"/>
  <c r="Q24" i="9"/>
  <c r="Q29" i="9"/>
  <c r="M26" i="7"/>
  <c r="M31" i="7"/>
  <c r="W14" i="9"/>
  <c r="W9" i="9"/>
  <c r="W41" i="9"/>
  <c r="W42" i="9"/>
  <c r="W31" i="9"/>
  <c r="W32" i="9"/>
  <c r="AH40" i="8"/>
  <c r="AH40" i="9"/>
  <c r="AH41" i="8"/>
  <c r="AH41" i="9"/>
  <c r="AH22" i="8"/>
  <c r="AH22" i="9"/>
  <c r="AH32" i="8"/>
  <c r="AD32" i="23" s="1"/>
  <c r="AD84" i="23" s="1"/>
  <c r="AH32" i="9"/>
  <c r="AH6" i="8"/>
  <c r="AH6" i="9"/>
  <c r="AH18" i="8"/>
  <c r="AD18" i="23" s="1"/>
  <c r="AD70" i="23" s="1"/>
  <c r="M18" i="7"/>
  <c r="P49" i="9"/>
  <c r="P48" i="9"/>
  <c r="P34" i="9"/>
  <c r="P13" i="9"/>
  <c r="P20" i="9"/>
  <c r="P14" i="9"/>
  <c r="M19" i="12"/>
  <c r="M19" i="13"/>
  <c r="M13" i="12"/>
  <c r="M13" i="13"/>
  <c r="M36" i="12"/>
  <c r="M36" i="24" s="1"/>
  <c r="M79" i="24" s="1"/>
  <c r="M36" i="13"/>
  <c r="M29" i="12"/>
  <c r="M29" i="13"/>
  <c r="M16" i="12"/>
  <c r="M16" i="13"/>
  <c r="U5" i="9"/>
  <c r="U53" i="7"/>
  <c r="U58" i="7" s="1"/>
  <c r="U15" i="8" s="1"/>
  <c r="T15" i="23" s="1"/>
  <c r="T67" i="23" s="1"/>
  <c r="U10" i="9"/>
  <c r="U42" i="9"/>
  <c r="U39" i="9"/>
  <c r="U32" i="9"/>
  <c r="U37" i="9"/>
  <c r="L32" i="8"/>
  <c r="L32" i="23" s="1"/>
  <c r="L84" i="23" s="1"/>
  <c r="L32" i="9"/>
  <c r="L51" i="8"/>
  <c r="L51" i="9"/>
  <c r="L20" i="8"/>
  <c r="L20" i="9"/>
  <c r="L18" i="8"/>
  <c r="L18" i="9"/>
  <c r="L24" i="8"/>
  <c r="L24" i="9"/>
  <c r="L23" i="8"/>
  <c r="L23" i="9"/>
  <c r="AD27" i="7"/>
  <c r="AC27" i="8"/>
  <c r="AC27" i="9"/>
  <c r="AD27" i="9" s="1"/>
  <c r="AD47" i="7"/>
  <c r="AC47" i="8"/>
  <c r="AC47" i="9"/>
  <c r="AD47" i="9" s="1"/>
  <c r="AD29" i="7"/>
  <c r="AC29" i="8"/>
  <c r="AD29" i="8" s="1"/>
  <c r="AC29" i="9"/>
  <c r="AD29" i="9" s="1"/>
  <c r="AD33" i="7"/>
  <c r="AC33" i="8"/>
  <c r="AC33" i="9"/>
  <c r="AD33" i="9" s="1"/>
  <c r="AD8" i="7"/>
  <c r="AC8" i="8"/>
  <c r="AC8" i="9"/>
  <c r="AD8" i="9" s="1"/>
  <c r="AD16" i="7"/>
  <c r="AC16" i="9"/>
  <c r="AD16" i="9" s="1"/>
  <c r="M24" i="7"/>
  <c r="O16" i="11"/>
  <c r="O10" i="11"/>
  <c r="O8" i="11"/>
  <c r="O6" i="11"/>
  <c r="O11" i="11"/>
  <c r="O9" i="11"/>
  <c r="O7" i="11"/>
  <c r="O5" i="11"/>
  <c r="O15" i="11"/>
  <c r="O33" i="11"/>
  <c r="O34" i="11"/>
  <c r="O41" i="11"/>
  <c r="O24" i="11"/>
  <c r="O32" i="11"/>
  <c r="O12" i="11"/>
  <c r="O13" i="11"/>
  <c r="O19" i="11"/>
  <c r="O21" i="11"/>
  <c r="O22" i="11"/>
  <c r="O14" i="11"/>
  <c r="O27" i="11"/>
  <c r="O20" i="11"/>
  <c r="O29" i="11"/>
  <c r="O17" i="11"/>
  <c r="O18" i="11"/>
  <c r="O28" i="11"/>
  <c r="O31" i="11"/>
  <c r="O35" i="11"/>
  <c r="O38" i="11"/>
  <c r="O25" i="11"/>
  <c r="O26" i="11"/>
  <c r="O36" i="11"/>
  <c r="O39" i="11"/>
  <c r="O37" i="11"/>
  <c r="O40" i="11"/>
  <c r="O30" i="11"/>
  <c r="O23" i="11"/>
  <c r="O42" i="11"/>
  <c r="N16" i="11"/>
  <c r="N10" i="11"/>
  <c r="N8" i="11"/>
  <c r="N6" i="11"/>
  <c r="N11" i="11"/>
  <c r="N9" i="11"/>
  <c r="N7" i="11"/>
  <c r="N5" i="11"/>
  <c r="N17" i="11"/>
  <c r="N20" i="11"/>
  <c r="N12" i="11"/>
  <c r="N38" i="11"/>
  <c r="N25" i="11"/>
  <c r="N14" i="11"/>
  <c r="N33" i="11"/>
  <c r="N27" i="11"/>
  <c r="N36" i="11"/>
  <c r="N29" i="11"/>
  <c r="N23" i="11"/>
  <c r="N15" i="11"/>
  <c r="N41" i="11"/>
  <c r="N18" i="11"/>
  <c r="N37" i="11"/>
  <c r="N34" i="11"/>
  <c r="N31" i="11"/>
  <c r="N24" i="11"/>
  <c r="N26" i="11"/>
  <c r="N40" i="11"/>
  <c r="N42" i="11"/>
  <c r="N13" i="11"/>
  <c r="N39" i="11"/>
  <c r="N32" i="11"/>
  <c r="N22" i="11"/>
  <c r="N35" i="11"/>
  <c r="N30" i="11"/>
  <c r="N28" i="11"/>
  <c r="N21" i="11"/>
  <c r="N19" i="11"/>
  <c r="R30" i="12"/>
  <c r="S30" i="12" s="1"/>
  <c r="S30" i="11"/>
  <c r="R30" i="13"/>
  <c r="S30" i="13" s="1"/>
  <c r="R19" i="12"/>
  <c r="S19" i="11"/>
  <c r="R19" i="13"/>
  <c r="S19" i="13" s="1"/>
  <c r="R17" i="12"/>
  <c r="S17" i="11"/>
  <c r="R17" i="13"/>
  <c r="S17" i="13" s="1"/>
  <c r="R9" i="12"/>
  <c r="S9" i="11"/>
  <c r="R9" i="13"/>
  <c r="S9" i="13" s="1"/>
  <c r="T17" i="12"/>
  <c r="T17" i="13"/>
  <c r="W13" i="11"/>
  <c r="T13" i="12"/>
  <c r="R13" i="24" s="1"/>
  <c r="R56" i="24" s="1"/>
  <c r="T13" i="13"/>
  <c r="T8" i="12"/>
  <c r="R8" i="24" s="1"/>
  <c r="R51" i="24" s="1"/>
  <c r="T8" i="13"/>
  <c r="R47" i="9"/>
  <c r="R48" i="9"/>
  <c r="R42" i="9"/>
  <c r="R8" i="9"/>
  <c r="R16" i="9"/>
  <c r="R25" i="9"/>
  <c r="O28" i="9"/>
  <c r="O42" i="9"/>
  <c r="O46" i="9"/>
  <c r="O40" i="9"/>
  <c r="O53" i="7"/>
  <c r="O58" i="7" s="1"/>
  <c r="O49" i="8" s="1"/>
  <c r="O49" i="23" s="1"/>
  <c r="O101" i="23" s="1"/>
  <c r="O5" i="9"/>
  <c r="O12" i="9"/>
  <c r="Q47" i="9"/>
  <c r="Q31" i="9"/>
  <c r="Q33" i="9"/>
  <c r="Q46" i="9"/>
  <c r="Q5" i="9"/>
  <c r="Q53" i="7"/>
  <c r="Q58" i="7" s="1"/>
  <c r="Q25" i="8" s="1"/>
  <c r="Q25" i="23" s="1"/>
  <c r="Q77" i="23" s="1"/>
  <c r="Q15" i="9"/>
  <c r="M28" i="7"/>
  <c r="M46" i="7"/>
  <c r="W5" i="9"/>
  <c r="W53" i="7"/>
  <c r="W58" i="7" s="1"/>
  <c r="W49" i="8" s="1"/>
  <c r="V49" i="23" s="1"/>
  <c r="V101" i="23" s="1"/>
  <c r="W13" i="9"/>
  <c r="W45" i="9"/>
  <c r="W46" i="9"/>
  <c r="W35" i="9"/>
  <c r="W36" i="9"/>
  <c r="AH46" i="8"/>
  <c r="AH46" i="9"/>
  <c r="AH30" i="8"/>
  <c r="AH30" i="9"/>
  <c r="AH28" i="8"/>
  <c r="AD28" i="23" s="1"/>
  <c r="AD80" i="23" s="1"/>
  <c r="AH28" i="9"/>
  <c r="AH35" i="8"/>
  <c r="AH35" i="9"/>
  <c r="AH9" i="8"/>
  <c r="AH9" i="9"/>
  <c r="AH11" i="8"/>
  <c r="AH11" i="9"/>
  <c r="S53" i="7"/>
  <c r="P39" i="9"/>
  <c r="P40" i="9"/>
  <c r="P30" i="9"/>
  <c r="P5" i="9"/>
  <c r="P53" i="7"/>
  <c r="P58" i="7" s="1"/>
  <c r="P11" i="8" s="1"/>
  <c r="P11" i="23" s="1"/>
  <c r="P63" i="23" s="1"/>
  <c r="P24" i="9"/>
  <c r="P18" i="9"/>
  <c r="M18" i="12"/>
  <c r="M18" i="24" s="1"/>
  <c r="M61" i="24" s="1"/>
  <c r="M18" i="13"/>
  <c r="M12" i="12"/>
  <c r="M12" i="13"/>
  <c r="M28" i="12"/>
  <c r="M28" i="13"/>
  <c r="M41" i="12"/>
  <c r="M41" i="13"/>
  <c r="M5" i="12"/>
  <c r="M5" i="24" s="1"/>
  <c r="M48" i="24" s="1"/>
  <c r="M5" i="13"/>
  <c r="M44" i="11"/>
  <c r="U6" i="9"/>
  <c r="U14" i="9"/>
  <c r="U48" i="9"/>
  <c r="U43" i="9"/>
  <c r="U36" i="9"/>
  <c r="U41" i="9"/>
  <c r="S47" i="13"/>
  <c r="S47" i="12"/>
  <c r="S47" i="11"/>
  <c r="S47" i="10"/>
  <c r="L37" i="8"/>
  <c r="L37" i="23" s="1"/>
  <c r="L89" i="23" s="1"/>
  <c r="L37" i="9"/>
  <c r="L42" i="8"/>
  <c r="L42" i="9"/>
  <c r="L35" i="8"/>
  <c r="L35" i="9"/>
  <c r="L30" i="8"/>
  <c r="L30" i="23" s="1"/>
  <c r="L82" i="23" s="1"/>
  <c r="L30" i="9"/>
  <c r="L10" i="8"/>
  <c r="L10" i="23" s="1"/>
  <c r="L62" i="23" s="1"/>
  <c r="L10" i="9"/>
  <c r="L27" i="8"/>
  <c r="L27" i="9"/>
  <c r="AD41" i="7"/>
  <c r="AC41" i="8"/>
  <c r="AD41" i="8" s="1"/>
  <c r="AC41" i="9"/>
  <c r="AD41" i="9" s="1"/>
  <c r="AD30" i="7"/>
  <c r="AC30" i="8"/>
  <c r="AC30" i="9"/>
  <c r="AD30" i="9" s="1"/>
  <c r="AD23" i="7"/>
  <c r="AC23" i="8"/>
  <c r="AC23" i="9"/>
  <c r="AD23" i="9" s="1"/>
  <c r="AD43" i="7"/>
  <c r="AC43" i="8"/>
  <c r="AC43" i="9"/>
  <c r="AD43" i="9" s="1"/>
  <c r="AD11" i="7"/>
  <c r="AC11" i="8"/>
  <c r="AC11" i="9"/>
  <c r="AD11" i="9" s="1"/>
  <c r="AD20" i="7"/>
  <c r="AC20" i="8"/>
  <c r="AC20" i="9"/>
  <c r="AD20" i="9" s="1"/>
  <c r="M11" i="7"/>
  <c r="D35" i="5"/>
  <c r="N56" i="6"/>
  <c r="X6" i="25" l="1"/>
  <c r="O13" i="25" s="1"/>
  <c r="X8" i="25"/>
  <c r="P15" i="25" s="1"/>
  <c r="AI13" i="9"/>
  <c r="M38" i="24"/>
  <c r="M81" i="24" s="1"/>
  <c r="R28" i="24"/>
  <c r="R71" i="24" s="1"/>
  <c r="R24" i="24"/>
  <c r="R67" i="24" s="1"/>
  <c r="AA29" i="23"/>
  <c r="AA81" i="23" s="1"/>
  <c r="X10" i="9"/>
  <c r="X14" i="9"/>
  <c r="X5" i="9"/>
  <c r="X5" i="8"/>
  <c r="X53" i="7"/>
  <c r="X58" i="7" s="1"/>
  <c r="X14" i="8" s="1"/>
  <c r="W14" i="23" s="1"/>
  <c r="W66" i="23" s="1"/>
  <c r="X15" i="9"/>
  <c r="X15" i="8"/>
  <c r="W15" i="23" s="1"/>
  <c r="W67" i="23" s="1"/>
  <c r="X33" i="9"/>
  <c r="X20" i="9"/>
  <c r="AI45" i="9"/>
  <c r="AI39" i="9"/>
  <c r="AI6" i="9"/>
  <c r="AI26" i="9"/>
  <c r="AI48" i="9"/>
  <c r="AI41" i="9"/>
  <c r="AI49" i="9"/>
  <c r="M31" i="24"/>
  <c r="M74" i="24" s="1"/>
  <c r="M33" i="24"/>
  <c r="M76" i="24" s="1"/>
  <c r="R27" i="24"/>
  <c r="R70" i="24" s="1"/>
  <c r="M41" i="24"/>
  <c r="M84" i="24" s="1"/>
  <c r="AD11" i="23"/>
  <c r="AD63" i="23" s="1"/>
  <c r="AD30" i="23"/>
  <c r="AD82" i="23" s="1"/>
  <c r="R17" i="24"/>
  <c r="R60" i="24" s="1"/>
  <c r="M13" i="24"/>
  <c r="M56" i="24" s="1"/>
  <c r="AD22" i="23"/>
  <c r="AD74" i="23" s="1"/>
  <c r="R6" i="24"/>
  <c r="R49" i="24" s="1"/>
  <c r="R35" i="24"/>
  <c r="R78" i="24" s="1"/>
  <c r="M22" i="24"/>
  <c r="M65" i="24" s="1"/>
  <c r="M27" i="24"/>
  <c r="M70" i="24" s="1"/>
  <c r="X45" i="9"/>
  <c r="X49" i="9"/>
  <c r="X35" i="9"/>
  <c r="X35" i="8"/>
  <c r="W35" i="23" s="1"/>
  <c r="W87" i="23" s="1"/>
  <c r="X29" i="9"/>
  <c r="X30" i="9"/>
  <c r="X48" i="9"/>
  <c r="AI42" i="9"/>
  <c r="AI40" i="9"/>
  <c r="AI10" i="9"/>
  <c r="AI19" i="9"/>
  <c r="AI37" i="9"/>
  <c r="AI38" i="9"/>
  <c r="AI29" i="9"/>
  <c r="L42" i="23"/>
  <c r="L94" i="23" s="1"/>
  <c r="R37" i="24"/>
  <c r="R80" i="24" s="1"/>
  <c r="X42" i="9"/>
  <c r="X42" i="8"/>
  <c r="W42" i="23" s="1"/>
  <c r="W94" i="23" s="1"/>
  <c r="X32" i="9"/>
  <c r="X21" i="9"/>
  <c r="X26" i="9"/>
  <c r="X16" i="9"/>
  <c r="X16" i="8"/>
  <c r="W16" i="23" s="1"/>
  <c r="W68" i="23" s="1"/>
  <c r="AI35" i="9"/>
  <c r="AI16" i="9"/>
  <c r="AI25" i="9"/>
  <c r="AI20" i="9"/>
  <c r="AI34" i="9"/>
  <c r="AI31" i="9"/>
  <c r="M28" i="24"/>
  <c r="M71" i="24" s="1"/>
  <c r="AD9" i="23"/>
  <c r="AD61" i="23" s="1"/>
  <c r="AD46" i="23"/>
  <c r="AD98" i="23" s="1"/>
  <c r="W5" i="8"/>
  <c r="V5" i="23" s="1"/>
  <c r="V57" i="23" s="1"/>
  <c r="T18" i="12"/>
  <c r="M16" i="24"/>
  <c r="M59" i="24" s="1"/>
  <c r="M19" i="24"/>
  <c r="M62" i="24" s="1"/>
  <c r="AD41" i="23"/>
  <c r="AD93" i="23" s="1"/>
  <c r="R23" i="24"/>
  <c r="R66" i="24" s="1"/>
  <c r="R11" i="24"/>
  <c r="R54" i="24" s="1"/>
  <c r="R32" i="24"/>
  <c r="R75" i="24" s="1"/>
  <c r="L26" i="23"/>
  <c r="L78" i="23" s="1"/>
  <c r="X13" i="9"/>
  <c r="X28" i="9"/>
  <c r="X7" i="9"/>
  <c r="X22" i="9"/>
  <c r="X22" i="8"/>
  <c r="W22" i="23" s="1"/>
  <c r="W74" i="23" s="1"/>
  <c r="X12" i="9"/>
  <c r="X50" i="9"/>
  <c r="AI36" i="9"/>
  <c r="AI21" i="9"/>
  <c r="AI22" i="9"/>
  <c r="AI46" i="9"/>
  <c r="AI27" i="9"/>
  <c r="AI32" i="9"/>
  <c r="X51" i="9"/>
  <c r="X39" i="9"/>
  <c r="X27" i="9"/>
  <c r="X34" i="9"/>
  <c r="AI9" i="9"/>
  <c r="L27" i="23"/>
  <c r="L79" i="23" s="1"/>
  <c r="O28" i="8"/>
  <c r="O28" i="23" s="1"/>
  <c r="O80" i="23" s="1"/>
  <c r="W18" i="11"/>
  <c r="T14" i="13"/>
  <c r="X41" i="9"/>
  <c r="X41" i="8"/>
  <c r="X46" i="9"/>
  <c r="X46" i="8"/>
  <c r="W46" i="23" s="1"/>
  <c r="W98" i="23" s="1"/>
  <c r="X18" i="9"/>
  <c r="X18" i="8"/>
  <c r="W18" i="23" s="1"/>
  <c r="W70" i="23" s="1"/>
  <c r="X47" i="9"/>
  <c r="X44" i="9"/>
  <c r="X44" i="8"/>
  <c r="X9" i="9"/>
  <c r="X9" i="8"/>
  <c r="W9" i="23" s="1"/>
  <c r="W61" i="23" s="1"/>
  <c r="AI7" i="9"/>
  <c r="AI18" i="9"/>
  <c r="AI15" i="9"/>
  <c r="AI33" i="9"/>
  <c r="AI33" i="8"/>
  <c r="AE33" i="23" s="1"/>
  <c r="AE85" i="23" s="1"/>
  <c r="AI28" i="9"/>
  <c r="X17" i="9"/>
  <c r="X11" i="9"/>
  <c r="X11" i="8"/>
  <c r="AI24" i="9"/>
  <c r="AI24" i="8"/>
  <c r="AE24" i="23" s="1"/>
  <c r="AE76" i="23" s="1"/>
  <c r="M12" i="24"/>
  <c r="M55" i="24" s="1"/>
  <c r="AD35" i="23"/>
  <c r="AD87" i="23" s="1"/>
  <c r="M29" i="24"/>
  <c r="M72" i="24" s="1"/>
  <c r="AD6" i="23"/>
  <c r="AD58" i="23" s="1"/>
  <c r="AD40" i="23"/>
  <c r="AD92" i="23" s="1"/>
  <c r="T14" i="12"/>
  <c r="R14" i="24" s="1"/>
  <c r="R57" i="24" s="1"/>
  <c r="L43" i="23"/>
  <c r="L95" i="23" s="1"/>
  <c r="R36" i="24"/>
  <c r="R79" i="24" s="1"/>
  <c r="W8" i="11"/>
  <c r="M26" i="24"/>
  <c r="M69" i="24" s="1"/>
  <c r="M15" i="24"/>
  <c r="M58" i="24" s="1"/>
  <c r="X38" i="9"/>
  <c r="X38" i="8"/>
  <c r="W38" i="23" s="1"/>
  <c r="W90" i="23" s="1"/>
  <c r="X6" i="8"/>
  <c r="W6" i="23" s="1"/>
  <c r="W58" i="23" s="1"/>
  <c r="X6" i="9"/>
  <c r="X43" i="9"/>
  <c r="X43" i="8"/>
  <c r="X40" i="9"/>
  <c r="X40" i="8"/>
  <c r="X23" i="9"/>
  <c r="X23" i="8"/>
  <c r="W23" i="23" s="1"/>
  <c r="W75" i="23" s="1"/>
  <c r="X8" i="8"/>
  <c r="W8" i="23" s="1"/>
  <c r="W60" i="23" s="1"/>
  <c r="X8" i="9"/>
  <c r="AI17" i="9"/>
  <c r="AI11" i="9"/>
  <c r="AI47" i="9"/>
  <c r="AI30" i="9"/>
  <c r="AI51" i="9"/>
  <c r="AI44" i="9"/>
  <c r="L35" i="23"/>
  <c r="L87" i="23" s="1"/>
  <c r="X24" i="9"/>
  <c r="X24" i="8"/>
  <c r="X25" i="8"/>
  <c r="X25" i="9"/>
  <c r="X36" i="9"/>
  <c r="X36" i="8"/>
  <c r="W36" i="23" s="1"/>
  <c r="W88" i="23" s="1"/>
  <c r="X31" i="8"/>
  <c r="X31" i="9"/>
  <c r="X19" i="9"/>
  <c r="X19" i="8"/>
  <c r="X37" i="9"/>
  <c r="X37" i="8"/>
  <c r="W37" i="23" s="1"/>
  <c r="W89" i="23" s="1"/>
  <c r="AI8" i="9"/>
  <c r="AI14" i="9"/>
  <c r="AI43" i="9"/>
  <c r="AI50" i="9"/>
  <c r="AI50" i="8"/>
  <c r="AE50" i="23" s="1"/>
  <c r="AE102" i="23" s="1"/>
  <c r="AI23" i="9"/>
  <c r="AI5" i="9"/>
  <c r="AI53" i="7"/>
  <c r="AI58" i="7" s="1"/>
  <c r="AI12" i="8" s="1"/>
  <c r="AE12" i="23" s="1"/>
  <c r="AE64" i="23" s="1"/>
  <c r="AD9" i="8"/>
  <c r="AA9" i="23"/>
  <c r="AA61" i="23" s="1"/>
  <c r="AD23" i="8"/>
  <c r="AA23" i="23"/>
  <c r="AA75" i="23" s="1"/>
  <c r="R18" i="24"/>
  <c r="R61" i="24" s="1"/>
  <c r="AD47" i="8"/>
  <c r="AA47" i="23"/>
  <c r="AA99" i="23" s="1"/>
  <c r="L24" i="23"/>
  <c r="L76" i="23" s="1"/>
  <c r="S12" i="12"/>
  <c r="Q12" i="24"/>
  <c r="Q55" i="24" s="1"/>
  <c r="L15" i="23"/>
  <c r="L67" i="23" s="1"/>
  <c r="L25" i="23"/>
  <c r="L77" i="23" s="1"/>
  <c r="AC42" i="8"/>
  <c r="L45" i="23"/>
  <c r="L97" i="23" s="1"/>
  <c r="M34" i="24"/>
  <c r="M77" i="24" s="1"/>
  <c r="R7" i="24"/>
  <c r="R50" i="24" s="1"/>
  <c r="H9" i="26" s="1"/>
  <c r="H15" i="26" s="1"/>
  <c r="W19" i="11"/>
  <c r="S35" i="12"/>
  <c r="Q35" i="24"/>
  <c r="Q78" i="24" s="1"/>
  <c r="S42" i="12"/>
  <c r="Q42" i="24"/>
  <c r="Q85" i="24" s="1"/>
  <c r="S34" i="12"/>
  <c r="Q34" i="24"/>
  <c r="Q77" i="24" s="1"/>
  <c r="AA41" i="23"/>
  <c r="AA93" i="23" s="1"/>
  <c r="W16" i="11"/>
  <c r="AD7" i="8"/>
  <c r="AA7" i="23"/>
  <c r="AA59" i="23" s="1"/>
  <c r="S13" i="12"/>
  <c r="Q13" i="24"/>
  <c r="Q56" i="24" s="1"/>
  <c r="S10" i="12"/>
  <c r="Q10" i="24"/>
  <c r="Q53" i="24" s="1"/>
  <c r="Q16" i="24"/>
  <c r="Q59" i="24" s="1"/>
  <c r="AD20" i="8"/>
  <c r="AA20" i="23"/>
  <c r="AA72" i="23" s="1"/>
  <c r="S17" i="12"/>
  <c r="Q17" i="24"/>
  <c r="Q60" i="24" s="1"/>
  <c r="S23" i="12"/>
  <c r="Q23" i="24"/>
  <c r="Q66" i="24" s="1"/>
  <c r="S37" i="12"/>
  <c r="Q37" i="24"/>
  <c r="Q80" i="24" s="1"/>
  <c r="AD11" i="8"/>
  <c r="AA11" i="23"/>
  <c r="AA63" i="23" s="1"/>
  <c r="O5" i="8"/>
  <c r="O5" i="23" s="1"/>
  <c r="O57" i="23" s="1"/>
  <c r="S19" i="12"/>
  <c r="Q19" i="24"/>
  <c r="Q62" i="24" s="1"/>
  <c r="AD33" i="8"/>
  <c r="AA33" i="23"/>
  <c r="AA85" i="23" s="1"/>
  <c r="L18" i="23"/>
  <c r="L70" i="23" s="1"/>
  <c r="S7" i="12"/>
  <c r="Q7" i="24"/>
  <c r="Q50" i="24" s="1"/>
  <c r="AC48" i="8"/>
  <c r="L14" i="23"/>
  <c r="L66" i="23" s="1"/>
  <c r="L33" i="23"/>
  <c r="L85" i="23" s="1"/>
  <c r="R22" i="24"/>
  <c r="R65" i="24" s="1"/>
  <c r="AC28" i="8"/>
  <c r="L38" i="23"/>
  <c r="L90" i="23" s="1"/>
  <c r="AH5" i="8"/>
  <c r="AD5" i="23" s="1"/>
  <c r="AD57" i="23" s="1"/>
  <c r="M6" i="24"/>
  <c r="M49" i="24" s="1"/>
  <c r="R41" i="24"/>
  <c r="R84" i="24" s="1"/>
  <c r="S24" i="12"/>
  <c r="Q24" i="24"/>
  <c r="Q67" i="24" s="1"/>
  <c r="W36" i="11"/>
  <c r="W26" i="11"/>
  <c r="W38" i="11"/>
  <c r="W9" i="11"/>
  <c r="S15" i="12"/>
  <c r="Q15" i="24"/>
  <c r="Q58" i="24" s="1"/>
  <c r="M9" i="24"/>
  <c r="M52" i="24" s="1"/>
  <c r="M37" i="24"/>
  <c r="M80" i="24" s="1"/>
  <c r="M40" i="24"/>
  <c r="M83" i="24" s="1"/>
  <c r="AD36" i="8"/>
  <c r="AA36" i="23"/>
  <c r="AA88" i="23" s="1"/>
  <c r="AD30" i="8"/>
  <c r="AA30" i="23"/>
  <c r="AA82" i="23" s="1"/>
  <c r="AD27" i="8"/>
  <c r="AA27" i="23"/>
  <c r="AA79" i="23" s="1"/>
  <c r="S32" i="12"/>
  <c r="Q32" i="24"/>
  <c r="Q75" i="24" s="1"/>
  <c r="S18" i="13"/>
  <c r="Q18" i="24"/>
  <c r="Q61" i="24" s="1"/>
  <c r="Q5" i="24"/>
  <c r="Q48" i="24" s="1"/>
  <c r="L29" i="8"/>
  <c r="L29" i="23" s="1"/>
  <c r="L81" i="23" s="1"/>
  <c r="Q22" i="24"/>
  <c r="Q65" i="24" s="1"/>
  <c r="S40" i="12"/>
  <c r="Q40" i="24"/>
  <c r="Q83" i="24" s="1"/>
  <c r="S41" i="12"/>
  <c r="Q41" i="24"/>
  <c r="Q84" i="24" s="1"/>
  <c r="U48" i="8"/>
  <c r="T48" i="23" s="1"/>
  <c r="T100" i="23" s="1"/>
  <c r="S9" i="12"/>
  <c r="Q9" i="24"/>
  <c r="Q52" i="24" s="1"/>
  <c r="AC16" i="8"/>
  <c r="L20" i="23"/>
  <c r="L72" i="23" s="1"/>
  <c r="R15" i="24"/>
  <c r="R58" i="24" s="1"/>
  <c r="AC21" i="8"/>
  <c r="L49" i="8"/>
  <c r="L49" i="23" s="1"/>
  <c r="L101" i="23" s="1"/>
  <c r="AH10" i="8"/>
  <c r="AD10" i="23" s="1"/>
  <c r="AD62" i="23" s="1"/>
  <c r="R25" i="24"/>
  <c r="R68" i="24" s="1"/>
  <c r="S29" i="12"/>
  <c r="Q29" i="24"/>
  <c r="Q72" i="24" s="1"/>
  <c r="AC25" i="8"/>
  <c r="AC49" i="8"/>
  <c r="L34" i="8"/>
  <c r="L34" i="23" s="1"/>
  <c r="L86" i="23" s="1"/>
  <c r="S31" i="12"/>
  <c r="Q31" i="24"/>
  <c r="Q74" i="24" s="1"/>
  <c r="M20" i="24"/>
  <c r="M63" i="24" s="1"/>
  <c r="R30" i="24"/>
  <c r="R73" i="24" s="1"/>
  <c r="S28" i="12"/>
  <c r="Q28" i="24"/>
  <c r="Q71" i="24" s="1"/>
  <c r="W27" i="11"/>
  <c r="W22" i="11"/>
  <c r="W6" i="11"/>
  <c r="S25" i="12"/>
  <c r="Q25" i="24"/>
  <c r="Q68" i="24" s="1"/>
  <c r="AD43" i="8"/>
  <c r="AA43" i="23"/>
  <c r="AA95" i="23" s="1"/>
  <c r="S26" i="12"/>
  <c r="Q26" i="24"/>
  <c r="Q69" i="24" s="1"/>
  <c r="AD39" i="8"/>
  <c r="AA39" i="23"/>
  <c r="AA91" i="23" s="1"/>
  <c r="AD14" i="8"/>
  <c r="AA14" i="23"/>
  <c r="AA66" i="23" s="1"/>
  <c r="S20" i="12"/>
  <c r="Q20" i="24"/>
  <c r="Q63" i="24" s="1"/>
  <c r="S14" i="12"/>
  <c r="Q14" i="24"/>
  <c r="Q57" i="24" s="1"/>
  <c r="AA45" i="23"/>
  <c r="AA97" i="23" s="1"/>
  <c r="AD8" i="8"/>
  <c r="AA8" i="23"/>
  <c r="AA60" i="23" s="1"/>
  <c r="W17" i="11"/>
  <c r="L23" i="23"/>
  <c r="L75" i="23" s="1"/>
  <c r="L51" i="23"/>
  <c r="L103" i="23" s="1"/>
  <c r="AD12" i="8"/>
  <c r="AA12" i="23"/>
  <c r="AA64" i="23" s="1"/>
  <c r="L31" i="23"/>
  <c r="L83" i="23" s="1"/>
  <c r="AD47" i="23"/>
  <c r="AD99" i="23" s="1"/>
  <c r="S36" i="12"/>
  <c r="Q36" i="24"/>
  <c r="Q79" i="24" s="1"/>
  <c r="L9" i="23"/>
  <c r="L61" i="23" s="1"/>
  <c r="L12" i="23"/>
  <c r="L64" i="23" s="1"/>
  <c r="R31" i="24"/>
  <c r="R74" i="24" s="1"/>
  <c r="M23" i="24"/>
  <c r="M66" i="24" s="1"/>
  <c r="R12" i="24"/>
  <c r="R55" i="24" s="1"/>
  <c r="H7" i="26" s="1"/>
  <c r="H13" i="26" s="1"/>
  <c r="L11" i="8"/>
  <c r="L11" i="23" s="1"/>
  <c r="L63" i="23" s="1"/>
  <c r="L40" i="8"/>
  <c r="L40" i="23" s="1"/>
  <c r="L92" i="23" s="1"/>
  <c r="M32" i="24"/>
  <c r="M75" i="24" s="1"/>
  <c r="S6" i="12"/>
  <c r="Q6" i="24"/>
  <c r="Q49" i="24" s="1"/>
  <c r="M7" i="24"/>
  <c r="M50" i="24" s="1"/>
  <c r="C9" i="26" s="1"/>
  <c r="C15" i="26" s="1"/>
  <c r="M39" i="24"/>
  <c r="M82" i="24" s="1"/>
  <c r="S39" i="12"/>
  <c r="Q39" i="24"/>
  <c r="Q82" i="24" s="1"/>
  <c r="Q30" i="24"/>
  <c r="Q73" i="24" s="1"/>
  <c r="Q8" i="24"/>
  <c r="Q51" i="24" s="1"/>
  <c r="Q11" i="24"/>
  <c r="Q54" i="24" s="1"/>
  <c r="Q33" i="24"/>
  <c r="Q76" i="24" s="1"/>
  <c r="Q27" i="24"/>
  <c r="Q70" i="24" s="1"/>
  <c r="Q21" i="24"/>
  <c r="Q64" i="24" s="1"/>
  <c r="Q38" i="24"/>
  <c r="Q81" i="24" s="1"/>
  <c r="O15" i="25"/>
  <c r="P13" i="25"/>
  <c r="P14" i="25"/>
  <c r="O14" i="25"/>
  <c r="P53" i="9"/>
  <c r="W46" i="8"/>
  <c r="V46" i="23" s="1"/>
  <c r="V98" i="23" s="1"/>
  <c r="W41" i="8"/>
  <c r="V41" i="23" s="1"/>
  <c r="V93" i="23" s="1"/>
  <c r="O51" i="8"/>
  <c r="O51" i="23" s="1"/>
  <c r="O103" i="23" s="1"/>
  <c r="P5" i="8"/>
  <c r="P5" i="23" s="1"/>
  <c r="P57" i="23" s="1"/>
  <c r="AC35" i="8"/>
  <c r="W45" i="8"/>
  <c r="V45" i="23" s="1"/>
  <c r="V97" i="23" s="1"/>
  <c r="O46" i="8"/>
  <c r="O46" i="23" s="1"/>
  <c r="O98" i="23" s="1"/>
  <c r="U39" i="8"/>
  <c r="T39" i="23" s="1"/>
  <c r="T91" i="23" s="1"/>
  <c r="W27" i="8"/>
  <c r="V27" i="23" s="1"/>
  <c r="V79" i="23" s="1"/>
  <c r="W20" i="11"/>
  <c r="U43" i="8"/>
  <c r="T43" i="23" s="1"/>
  <c r="T95" i="23" s="1"/>
  <c r="Q15" i="8"/>
  <c r="Q15" i="23" s="1"/>
  <c r="Q67" i="23" s="1"/>
  <c r="Q47" i="8"/>
  <c r="Q47" i="23" s="1"/>
  <c r="Q99" i="23" s="1"/>
  <c r="Q32" i="8"/>
  <c r="Q32" i="23" s="1"/>
  <c r="Q84" i="23" s="1"/>
  <c r="AC5" i="8"/>
  <c r="AC40" i="8"/>
  <c r="AH31" i="8"/>
  <c r="AD31" i="23" s="1"/>
  <c r="AD83" i="23" s="1"/>
  <c r="W42" i="11"/>
  <c r="P18" i="8"/>
  <c r="P18" i="23" s="1"/>
  <c r="P70" i="23" s="1"/>
  <c r="P40" i="8"/>
  <c r="P40" i="23" s="1"/>
  <c r="P92" i="23" s="1"/>
  <c r="W36" i="8"/>
  <c r="V36" i="23" s="1"/>
  <c r="V88" i="23" s="1"/>
  <c r="W13" i="8"/>
  <c r="V13" i="23" s="1"/>
  <c r="V65" i="23" s="1"/>
  <c r="AH43" i="8"/>
  <c r="AD43" i="23" s="1"/>
  <c r="AD95" i="23" s="1"/>
  <c r="AC10" i="8"/>
  <c r="P34" i="8"/>
  <c r="P34" i="23" s="1"/>
  <c r="P86" i="23" s="1"/>
  <c r="P24" i="8"/>
  <c r="W35" i="8"/>
  <c r="V35" i="23" s="1"/>
  <c r="V87" i="23" s="1"/>
  <c r="W53" i="9"/>
  <c r="Q5" i="8"/>
  <c r="Q5" i="23" s="1"/>
  <c r="Q57" i="23" s="1"/>
  <c r="Q29" i="8"/>
  <c r="Q29" i="23" s="1"/>
  <c r="Q81" i="23" s="1"/>
  <c r="AH25" i="8"/>
  <c r="AD25" i="23" s="1"/>
  <c r="AD77" i="23" s="1"/>
  <c r="AH33" i="8"/>
  <c r="AD33" i="23" s="1"/>
  <c r="AD85" i="23" s="1"/>
  <c r="AC13" i="8"/>
  <c r="AC38" i="8"/>
  <c r="AC6" i="8"/>
  <c r="L47" i="8"/>
  <c r="L47" i="23" s="1"/>
  <c r="L99" i="23" s="1"/>
  <c r="N54" i="9"/>
  <c r="N54" i="8"/>
  <c r="N58" i="8" s="1"/>
  <c r="N54" i="7"/>
  <c r="N15" i="12"/>
  <c r="N15" i="13"/>
  <c r="N6" i="12"/>
  <c r="N6" i="24" s="1"/>
  <c r="N49" i="24" s="1"/>
  <c r="N6" i="13"/>
  <c r="O21" i="12"/>
  <c r="O21" i="13"/>
  <c r="P10" i="8"/>
  <c r="P10" i="23" s="1"/>
  <c r="P62" i="23" s="1"/>
  <c r="P33" i="8"/>
  <c r="P33" i="23" s="1"/>
  <c r="P85" i="23" s="1"/>
  <c r="M13" i="9"/>
  <c r="Q37" i="8"/>
  <c r="Q37" i="23" s="1"/>
  <c r="Q89" i="23" s="1"/>
  <c r="O13" i="8"/>
  <c r="O13" i="23" s="1"/>
  <c r="O65" i="23" s="1"/>
  <c r="O32" i="8"/>
  <c r="O32" i="23" s="1"/>
  <c r="O84" i="23" s="1"/>
  <c r="U24" i="8"/>
  <c r="T24" i="23" s="1"/>
  <c r="T76" i="23" s="1"/>
  <c r="W24" i="8"/>
  <c r="V24" i="23" s="1"/>
  <c r="V76" i="23" s="1"/>
  <c r="W7" i="8"/>
  <c r="V7" i="23" s="1"/>
  <c r="V59" i="23" s="1"/>
  <c r="Q18" i="8"/>
  <c r="Q18" i="23" s="1"/>
  <c r="Q70" i="23" s="1"/>
  <c r="O10" i="8"/>
  <c r="O10" i="23" s="1"/>
  <c r="O62" i="23" s="1"/>
  <c r="O41" i="8"/>
  <c r="O41" i="23" s="1"/>
  <c r="O93" i="23" s="1"/>
  <c r="M33" i="9"/>
  <c r="U20" i="8"/>
  <c r="T20" i="23" s="1"/>
  <c r="T72" i="23" s="1"/>
  <c r="M25" i="9"/>
  <c r="V41" i="12"/>
  <c r="T41" i="24" s="1"/>
  <c r="T84" i="24" s="1"/>
  <c r="V41" i="13"/>
  <c r="V22" i="12"/>
  <c r="T22" i="24" s="1"/>
  <c r="T65" i="24" s="1"/>
  <c r="V22" i="13"/>
  <c r="V12" i="12"/>
  <c r="V12" i="13"/>
  <c r="V38" i="12"/>
  <c r="T38" i="24" s="1"/>
  <c r="T81" i="24" s="1"/>
  <c r="V38" i="13"/>
  <c r="V7" i="12"/>
  <c r="T7" i="24" s="1"/>
  <c r="T50" i="24" s="1"/>
  <c r="V7" i="13"/>
  <c r="U21" i="12"/>
  <c r="S21" i="24" s="1"/>
  <c r="S64" i="24" s="1"/>
  <c r="U21" i="13"/>
  <c r="U25" i="12"/>
  <c r="U25" i="13"/>
  <c r="U29" i="12"/>
  <c r="S29" i="24" s="1"/>
  <c r="S72" i="24" s="1"/>
  <c r="U29" i="13"/>
  <c r="U12" i="12"/>
  <c r="S12" i="24" s="1"/>
  <c r="S55" i="24" s="1"/>
  <c r="U12" i="13"/>
  <c r="U11" i="12"/>
  <c r="S11" i="24" s="1"/>
  <c r="S54" i="24" s="1"/>
  <c r="U11" i="13"/>
  <c r="L53" i="9"/>
  <c r="U46" i="8"/>
  <c r="T46" i="23" s="1"/>
  <c r="T98" i="23" s="1"/>
  <c r="U23" i="8"/>
  <c r="T23" i="23" s="1"/>
  <c r="T75" i="23" s="1"/>
  <c r="M43" i="9"/>
  <c r="P15" i="8"/>
  <c r="P15" i="23" s="1"/>
  <c r="P67" i="23" s="1"/>
  <c r="AH13" i="8"/>
  <c r="AD13" i="23" s="1"/>
  <c r="AD65" i="23" s="1"/>
  <c r="AH45" i="8"/>
  <c r="AD45" i="23" s="1"/>
  <c r="AD97" i="23" s="1"/>
  <c r="W15" i="8"/>
  <c r="V15" i="23" s="1"/>
  <c r="V67" i="23" s="1"/>
  <c r="M30" i="9"/>
  <c r="O17" i="8"/>
  <c r="O17" i="23" s="1"/>
  <c r="O69" i="23" s="1"/>
  <c r="AA33" i="11"/>
  <c r="Z33" i="12"/>
  <c r="AA33" i="12" s="1"/>
  <c r="Z33" i="13"/>
  <c r="AA33" i="13" s="1"/>
  <c r="AA37" i="11"/>
  <c r="Z37" i="12"/>
  <c r="AA37" i="12" s="1"/>
  <c r="Z37" i="13"/>
  <c r="AA37" i="13" s="1"/>
  <c r="AA31" i="11"/>
  <c r="Z31" i="12"/>
  <c r="AA31" i="12" s="1"/>
  <c r="Z31" i="13"/>
  <c r="AA31" i="13" s="1"/>
  <c r="AA25" i="11"/>
  <c r="Z25" i="12"/>
  <c r="AA25" i="12" s="1"/>
  <c r="Z25" i="13"/>
  <c r="AA25" i="13" s="1"/>
  <c r="AA6" i="11"/>
  <c r="Z6" i="12"/>
  <c r="AA6" i="12" s="1"/>
  <c r="Z6" i="13"/>
  <c r="AA6" i="13" s="1"/>
  <c r="M5" i="9"/>
  <c r="M53" i="7"/>
  <c r="M58" i="7" s="1"/>
  <c r="M47" i="8" s="1"/>
  <c r="M47" i="23" s="1"/>
  <c r="M99" i="23" s="1"/>
  <c r="AC26" i="8"/>
  <c r="U44" i="8"/>
  <c r="T44" i="23" s="1"/>
  <c r="T96" i="23" s="1"/>
  <c r="Q27" i="8"/>
  <c r="Q27" i="23" s="1"/>
  <c r="Q79" i="23" s="1"/>
  <c r="Q20" i="8"/>
  <c r="Q20" i="23" s="1"/>
  <c r="Q72" i="23" s="1"/>
  <c r="O9" i="8"/>
  <c r="O9" i="23" s="1"/>
  <c r="O61" i="23" s="1"/>
  <c r="W29" i="11"/>
  <c r="AC51" i="8"/>
  <c r="S58" i="7"/>
  <c r="R58" i="7"/>
  <c r="P36" i="12"/>
  <c r="P36" i="24" s="1"/>
  <c r="P79" i="24" s="1"/>
  <c r="P36" i="13"/>
  <c r="P35" i="12"/>
  <c r="P35" i="24" s="1"/>
  <c r="P78" i="24" s="1"/>
  <c r="P35" i="13"/>
  <c r="P20" i="12"/>
  <c r="P20" i="13"/>
  <c r="P7" i="12"/>
  <c r="P7" i="24" s="1"/>
  <c r="P50" i="24" s="1"/>
  <c r="P7" i="13"/>
  <c r="V16" i="9"/>
  <c r="V7" i="9"/>
  <c r="V30" i="9"/>
  <c r="V19" i="9"/>
  <c r="V40" i="9"/>
  <c r="V37" i="9"/>
  <c r="O28" i="12"/>
  <c r="O28" i="24" s="1"/>
  <c r="O71" i="24" s="1"/>
  <c r="O28" i="13"/>
  <c r="N30" i="12"/>
  <c r="N30" i="24" s="1"/>
  <c r="N73" i="24" s="1"/>
  <c r="N30" i="13"/>
  <c r="N26" i="12"/>
  <c r="N26" i="24" s="1"/>
  <c r="N69" i="24" s="1"/>
  <c r="N26" i="13"/>
  <c r="N23" i="12"/>
  <c r="N23" i="13"/>
  <c r="N12" i="12"/>
  <c r="N12" i="24" s="1"/>
  <c r="N55" i="24" s="1"/>
  <c r="N12" i="13"/>
  <c r="N8" i="12"/>
  <c r="N8" i="24" s="1"/>
  <c r="N51" i="24" s="1"/>
  <c r="N8" i="13"/>
  <c r="O39" i="12"/>
  <c r="O39" i="24" s="1"/>
  <c r="O82" i="24" s="1"/>
  <c r="O39" i="13"/>
  <c r="O18" i="12"/>
  <c r="O18" i="13"/>
  <c r="O19" i="12"/>
  <c r="O19" i="24" s="1"/>
  <c r="O62" i="24" s="1"/>
  <c r="O19" i="13"/>
  <c r="O15" i="12"/>
  <c r="O15" i="24" s="1"/>
  <c r="O58" i="24" s="1"/>
  <c r="O15" i="13"/>
  <c r="O16" i="12"/>
  <c r="O16" i="24" s="1"/>
  <c r="O59" i="24" s="1"/>
  <c r="O16" i="13"/>
  <c r="U53" i="9"/>
  <c r="P20" i="8"/>
  <c r="P20" i="23" s="1"/>
  <c r="P72" i="23" s="1"/>
  <c r="P49" i="8"/>
  <c r="P49" i="23" s="1"/>
  <c r="P101" i="23" s="1"/>
  <c r="W31" i="8"/>
  <c r="V31" i="23" s="1"/>
  <c r="V83" i="23" s="1"/>
  <c r="W14" i="8"/>
  <c r="V14" i="23" s="1"/>
  <c r="V66" i="23" s="1"/>
  <c r="Q19" i="8"/>
  <c r="Q19" i="23" s="1"/>
  <c r="Q71" i="23" s="1"/>
  <c r="O18" i="8"/>
  <c r="O18" i="23" s="1"/>
  <c r="O70" i="23" s="1"/>
  <c r="O37" i="8"/>
  <c r="O37" i="23" s="1"/>
  <c r="O89" i="23" s="1"/>
  <c r="U28" i="8"/>
  <c r="T28" i="23" s="1"/>
  <c r="T80" i="23" s="1"/>
  <c r="M20" i="9"/>
  <c r="S5" i="13"/>
  <c r="S44" i="13" s="1"/>
  <c r="R44" i="13"/>
  <c r="Y19" i="7"/>
  <c r="Y18" i="7"/>
  <c r="Y14" i="7"/>
  <c r="Y10" i="7"/>
  <c r="Y25" i="7"/>
  <c r="Y17" i="7"/>
  <c r="Y20" i="7"/>
  <c r="Y16" i="7"/>
  <c r="Y12" i="7"/>
  <c r="Y8" i="7"/>
  <c r="Y9" i="7"/>
  <c r="Y13" i="7"/>
  <c r="Y6" i="7"/>
  <c r="Y5" i="7"/>
  <c r="Y15" i="7"/>
  <c r="Y11" i="7"/>
  <c r="Y7" i="7"/>
  <c r="Y50" i="7"/>
  <c r="Y28" i="7"/>
  <c r="Y46" i="7"/>
  <c r="Y48" i="7"/>
  <c r="Y36" i="7"/>
  <c r="Y22" i="7"/>
  <c r="Y44" i="7"/>
  <c r="Y31" i="7"/>
  <c r="Y24" i="7"/>
  <c r="Y27" i="7"/>
  <c r="Y39" i="7"/>
  <c r="Y33" i="7"/>
  <c r="Y35" i="7"/>
  <c r="Y47" i="7"/>
  <c r="Y41" i="7"/>
  <c r="Y26" i="7"/>
  <c r="Y43" i="7"/>
  <c r="Y29" i="7"/>
  <c r="Y21" i="7"/>
  <c r="Y23" i="7"/>
  <c r="Y49" i="7"/>
  <c r="Y34" i="7"/>
  <c r="Y51" i="7"/>
  <c r="Y37" i="7"/>
  <c r="Y30" i="7"/>
  <c r="Y32" i="7"/>
  <c r="Y42" i="7"/>
  <c r="Y45" i="7"/>
  <c r="Y38" i="7"/>
  <c r="Y40" i="7"/>
  <c r="P12" i="8"/>
  <c r="P12" i="23" s="1"/>
  <c r="P64" i="23" s="1"/>
  <c r="M34" i="9"/>
  <c r="U13" i="8"/>
  <c r="T13" i="23" s="1"/>
  <c r="T65" i="23" s="1"/>
  <c r="P8" i="8"/>
  <c r="P8" i="23" s="1"/>
  <c r="P60" i="23" s="1"/>
  <c r="AH17" i="8"/>
  <c r="AD17" i="23" s="1"/>
  <c r="AD69" i="23" s="1"/>
  <c r="AH34" i="8"/>
  <c r="AD34" i="23" s="1"/>
  <c r="AD86" i="23" s="1"/>
  <c r="W19" i="8"/>
  <c r="V19" i="23" s="1"/>
  <c r="V71" i="23" s="1"/>
  <c r="M32" i="8"/>
  <c r="M32" i="23" s="1"/>
  <c r="M84" i="23" s="1"/>
  <c r="M32" i="9"/>
  <c r="Q41" i="8"/>
  <c r="Q41" i="23" s="1"/>
  <c r="Q93" i="23" s="1"/>
  <c r="O19" i="8"/>
  <c r="O19" i="23" s="1"/>
  <c r="O71" i="23" s="1"/>
  <c r="O36" i="8"/>
  <c r="O36" i="23" s="1"/>
  <c r="O88" i="23" s="1"/>
  <c r="W7" i="11"/>
  <c r="V37" i="12"/>
  <c r="T37" i="24" s="1"/>
  <c r="T80" i="24" s="1"/>
  <c r="V37" i="13"/>
  <c r="V21" i="12"/>
  <c r="T21" i="24" s="1"/>
  <c r="T64" i="24" s="1"/>
  <c r="V21" i="13"/>
  <c r="W21" i="13" s="1"/>
  <c r="V20" i="12"/>
  <c r="T20" i="24" s="1"/>
  <c r="T63" i="24" s="1"/>
  <c r="V20" i="13"/>
  <c r="V27" i="12"/>
  <c r="T27" i="24" s="1"/>
  <c r="T70" i="24" s="1"/>
  <c r="V27" i="13"/>
  <c r="V9" i="12"/>
  <c r="V9" i="13"/>
  <c r="U22" i="12"/>
  <c r="S22" i="24" s="1"/>
  <c r="S65" i="24" s="1"/>
  <c r="U22" i="13"/>
  <c r="W22" i="13" s="1"/>
  <c r="U40" i="12"/>
  <c r="S40" i="24" s="1"/>
  <c r="S83" i="24" s="1"/>
  <c r="U40" i="13"/>
  <c r="U28" i="12"/>
  <c r="S28" i="24" s="1"/>
  <c r="S71" i="24" s="1"/>
  <c r="U28" i="13"/>
  <c r="U6" i="12"/>
  <c r="S6" i="24" s="1"/>
  <c r="S49" i="24" s="1"/>
  <c r="U6" i="13"/>
  <c r="M17" i="8"/>
  <c r="M17" i="23" s="1"/>
  <c r="M69" i="23" s="1"/>
  <c r="M17" i="9"/>
  <c r="M27" i="9"/>
  <c r="Q51" i="8"/>
  <c r="Q51" i="23" s="1"/>
  <c r="Q103" i="23" s="1"/>
  <c r="AA18" i="11"/>
  <c r="Z18" i="12"/>
  <c r="AA18" i="12" s="1"/>
  <c r="Z18" i="13"/>
  <c r="AA18" i="13" s="1"/>
  <c r="AA39" i="11"/>
  <c r="Z39" i="12"/>
  <c r="AA39" i="12" s="1"/>
  <c r="Z39" i="13"/>
  <c r="AA39" i="13" s="1"/>
  <c r="AA21" i="11"/>
  <c r="Z21" i="12"/>
  <c r="AA21" i="12" s="1"/>
  <c r="Z21" i="13"/>
  <c r="AA21" i="13" s="1"/>
  <c r="AA24" i="11"/>
  <c r="Z24" i="12"/>
  <c r="AA24" i="12" s="1"/>
  <c r="Z24" i="13"/>
  <c r="AA24" i="13" s="1"/>
  <c r="AA8" i="11"/>
  <c r="Z8" i="12"/>
  <c r="AA8" i="12" s="1"/>
  <c r="Z8" i="13"/>
  <c r="AA8" i="13" s="1"/>
  <c r="M6" i="8"/>
  <c r="M6" i="23" s="1"/>
  <c r="M58" i="23" s="1"/>
  <c r="M6" i="9"/>
  <c r="L21" i="8"/>
  <c r="L21" i="23" s="1"/>
  <c r="L73" i="23" s="1"/>
  <c r="L7" i="8"/>
  <c r="L7" i="23" s="1"/>
  <c r="L59" i="23" s="1"/>
  <c r="U22" i="8"/>
  <c r="T22" i="23" s="1"/>
  <c r="T74" i="23" s="1"/>
  <c r="P26" i="8"/>
  <c r="P32" i="8"/>
  <c r="P32" i="23" s="1"/>
  <c r="P84" i="23" s="1"/>
  <c r="AH27" i="8"/>
  <c r="AD27" i="23" s="1"/>
  <c r="AD79" i="23" s="1"/>
  <c r="W44" i="8"/>
  <c r="V44" i="23" s="1"/>
  <c r="V96" i="23" s="1"/>
  <c r="W21" i="8"/>
  <c r="V21" i="23" s="1"/>
  <c r="V73" i="23" s="1"/>
  <c r="L13" i="8"/>
  <c r="L13" i="23" s="1"/>
  <c r="L65" i="23" s="1"/>
  <c r="L39" i="8"/>
  <c r="L39" i="23" s="1"/>
  <c r="L91" i="23" s="1"/>
  <c r="U40" i="8"/>
  <c r="T40" i="23" s="1"/>
  <c r="T92" i="23" s="1"/>
  <c r="P37" i="8"/>
  <c r="P37" i="23" s="1"/>
  <c r="P89" i="23" s="1"/>
  <c r="AH14" i="8"/>
  <c r="AD14" i="23" s="1"/>
  <c r="AD66" i="23" s="1"/>
  <c r="AH50" i="8"/>
  <c r="AD50" i="23" s="1"/>
  <c r="AD102" i="23" s="1"/>
  <c r="W18" i="8"/>
  <c r="V18" i="23" s="1"/>
  <c r="V70" i="23" s="1"/>
  <c r="Q23" i="8"/>
  <c r="Q23" i="23" s="1"/>
  <c r="Q75" i="23" s="1"/>
  <c r="Q45" i="8"/>
  <c r="Q45" i="23" s="1"/>
  <c r="Q97" i="23" s="1"/>
  <c r="O21" i="8"/>
  <c r="O21" i="23" s="1"/>
  <c r="O73" i="23" s="1"/>
  <c r="W40" i="11"/>
  <c r="P25" i="12"/>
  <c r="P25" i="24" s="1"/>
  <c r="P68" i="24" s="1"/>
  <c r="P25" i="13"/>
  <c r="P15" i="12"/>
  <c r="P15" i="13"/>
  <c r="P18" i="12"/>
  <c r="P18" i="13"/>
  <c r="P19" i="12"/>
  <c r="P19" i="13"/>
  <c r="P9" i="12"/>
  <c r="P9" i="24" s="1"/>
  <c r="P52" i="24" s="1"/>
  <c r="P9" i="13"/>
  <c r="V20" i="9"/>
  <c r="V9" i="9"/>
  <c r="V34" i="9"/>
  <c r="V44" i="9"/>
  <c r="V41" i="9"/>
  <c r="N38" i="12"/>
  <c r="N38" i="24" s="1"/>
  <c r="N81" i="24" s="1"/>
  <c r="N38" i="13"/>
  <c r="O10" i="12"/>
  <c r="O10" i="24" s="1"/>
  <c r="O53" i="24" s="1"/>
  <c r="O10" i="13"/>
  <c r="U36" i="8"/>
  <c r="T36" i="23" s="1"/>
  <c r="T88" i="23" s="1"/>
  <c r="Q46" i="8"/>
  <c r="Q46" i="23" s="1"/>
  <c r="Q98" i="23" s="1"/>
  <c r="N35" i="12"/>
  <c r="N35" i="24" s="1"/>
  <c r="N78" i="24" s="1"/>
  <c r="N35" i="13"/>
  <c r="N24" i="12"/>
  <c r="N24" i="24" s="1"/>
  <c r="N67" i="24" s="1"/>
  <c r="N24" i="13"/>
  <c r="N29" i="12"/>
  <c r="N29" i="24" s="1"/>
  <c r="N72" i="24" s="1"/>
  <c r="N29" i="13"/>
  <c r="N20" i="12"/>
  <c r="N20" i="24" s="1"/>
  <c r="N63" i="24" s="1"/>
  <c r="N20" i="13"/>
  <c r="N10" i="12"/>
  <c r="N10" i="24" s="1"/>
  <c r="N53" i="24" s="1"/>
  <c r="N10" i="13"/>
  <c r="O36" i="12"/>
  <c r="O36" i="24" s="1"/>
  <c r="O79" i="24" s="1"/>
  <c r="O36" i="13"/>
  <c r="O17" i="12"/>
  <c r="O17" i="24" s="1"/>
  <c r="O60" i="24" s="1"/>
  <c r="O17" i="13"/>
  <c r="O13" i="12"/>
  <c r="O13" i="24" s="1"/>
  <c r="O56" i="24" s="1"/>
  <c r="O13" i="13"/>
  <c r="O5" i="12"/>
  <c r="O44" i="11"/>
  <c r="O5" i="13"/>
  <c r="M24" i="8"/>
  <c r="M24" i="23" s="1"/>
  <c r="M76" i="23" s="1"/>
  <c r="M24" i="9"/>
  <c r="U37" i="8"/>
  <c r="T37" i="23" s="1"/>
  <c r="T89" i="23" s="1"/>
  <c r="M18" i="8"/>
  <c r="M18" i="23" s="1"/>
  <c r="M70" i="23" s="1"/>
  <c r="M18" i="9"/>
  <c r="M31" i="8"/>
  <c r="M31" i="23" s="1"/>
  <c r="M83" i="23" s="1"/>
  <c r="M31" i="9"/>
  <c r="P16" i="8"/>
  <c r="P16" i="23" s="1"/>
  <c r="P68" i="23" s="1"/>
  <c r="W38" i="8"/>
  <c r="V38" i="23" s="1"/>
  <c r="V90" i="23" s="1"/>
  <c r="Q21" i="8"/>
  <c r="Q21" i="23" s="1"/>
  <c r="Q73" i="23" s="1"/>
  <c r="Q49" i="8"/>
  <c r="Q49" i="23" s="1"/>
  <c r="Q101" i="23" s="1"/>
  <c r="O44" i="8"/>
  <c r="O44" i="23" s="1"/>
  <c r="O96" i="23" s="1"/>
  <c r="S44" i="11"/>
  <c r="M23" i="8"/>
  <c r="M23" i="23" s="1"/>
  <c r="M75" i="23" s="1"/>
  <c r="M23" i="9"/>
  <c r="U49" i="8"/>
  <c r="T49" i="23" s="1"/>
  <c r="T101" i="23" s="1"/>
  <c r="U8" i="8"/>
  <c r="T8" i="23" s="1"/>
  <c r="T60" i="23" s="1"/>
  <c r="W23" i="8"/>
  <c r="V23" i="23" s="1"/>
  <c r="V75" i="23" s="1"/>
  <c r="M45" i="9"/>
  <c r="Q11" i="8"/>
  <c r="Q11" i="23" s="1"/>
  <c r="Q63" i="23" s="1"/>
  <c r="O8" i="8"/>
  <c r="O8" i="23" s="1"/>
  <c r="O60" i="23" s="1"/>
  <c r="O43" i="8"/>
  <c r="O43" i="23" s="1"/>
  <c r="O95" i="23" s="1"/>
  <c r="M51" i="8"/>
  <c r="M51" i="23" s="1"/>
  <c r="M103" i="23" s="1"/>
  <c r="M51" i="9"/>
  <c r="U47" i="8"/>
  <c r="T47" i="23" s="1"/>
  <c r="T99" i="23" s="1"/>
  <c r="AH53" i="9"/>
  <c r="W12" i="11"/>
  <c r="V19" i="12"/>
  <c r="V19" i="13"/>
  <c r="V28" i="12"/>
  <c r="W28" i="12" s="1"/>
  <c r="V28" i="13"/>
  <c r="V24" i="12"/>
  <c r="T24" i="24" s="1"/>
  <c r="T67" i="24" s="1"/>
  <c r="V24" i="13"/>
  <c r="V18" i="12"/>
  <c r="V18" i="13"/>
  <c r="V11" i="12"/>
  <c r="W11" i="12" s="1"/>
  <c r="V11" i="13"/>
  <c r="W11" i="13" s="1"/>
  <c r="U32" i="12"/>
  <c r="U32" i="13"/>
  <c r="U31" i="12"/>
  <c r="S31" i="24" s="1"/>
  <c r="S74" i="24" s="1"/>
  <c r="U31" i="13"/>
  <c r="U27" i="12"/>
  <c r="U27" i="13"/>
  <c r="U8" i="12"/>
  <c r="U8" i="13"/>
  <c r="AC50" i="8"/>
  <c r="L5" i="8"/>
  <c r="L5" i="23" s="1"/>
  <c r="L57" i="23" s="1"/>
  <c r="U21" i="8"/>
  <c r="T21" i="23" s="1"/>
  <c r="T73" i="23" s="1"/>
  <c r="P47" i="8"/>
  <c r="P47" i="23" s="1"/>
  <c r="P99" i="23" s="1"/>
  <c r="AH8" i="8"/>
  <c r="AD8" i="23" s="1"/>
  <c r="AD60" i="23" s="1"/>
  <c r="AH23" i="8"/>
  <c r="AD23" i="23" s="1"/>
  <c r="AD75" i="23" s="1"/>
  <c r="W26" i="8"/>
  <c r="V26" i="23" s="1"/>
  <c r="V78" i="23" s="1"/>
  <c r="O38" i="8"/>
  <c r="O38" i="23" s="1"/>
  <c r="O90" i="23" s="1"/>
  <c r="T44" i="13"/>
  <c r="AA34" i="11"/>
  <c r="Z34" i="12"/>
  <c r="AA34" i="12" s="1"/>
  <c r="Z34" i="13"/>
  <c r="AA34" i="13" s="1"/>
  <c r="AA29" i="11"/>
  <c r="Z29" i="12"/>
  <c r="AA29" i="12" s="1"/>
  <c r="Z29" i="13"/>
  <c r="AA29" i="13" s="1"/>
  <c r="AA20" i="11"/>
  <c r="Z20" i="12"/>
  <c r="AA20" i="12" s="1"/>
  <c r="Z20" i="13"/>
  <c r="AA20" i="13" s="1"/>
  <c r="AA14" i="11"/>
  <c r="Z14" i="12"/>
  <c r="AA14" i="12" s="1"/>
  <c r="Z14" i="13"/>
  <c r="AA14" i="13" s="1"/>
  <c r="AA10" i="11"/>
  <c r="Z10" i="12"/>
  <c r="AA10" i="12" s="1"/>
  <c r="Z10" i="13"/>
  <c r="AA10" i="13" s="1"/>
  <c r="M10" i="8"/>
  <c r="M10" i="9"/>
  <c r="AC19" i="8"/>
  <c r="Q22" i="8"/>
  <c r="Q22" i="23" s="1"/>
  <c r="Q74" i="23" s="1"/>
  <c r="Q7" i="8"/>
  <c r="Q7" i="23" s="1"/>
  <c r="Q59" i="23" s="1"/>
  <c r="O27" i="8"/>
  <c r="O27" i="23" s="1"/>
  <c r="O79" i="23" s="1"/>
  <c r="W28" i="11"/>
  <c r="AC15" i="8"/>
  <c r="U18" i="8"/>
  <c r="T18" i="23" s="1"/>
  <c r="T70" i="23" s="1"/>
  <c r="P39" i="12"/>
  <c r="P39" i="24" s="1"/>
  <c r="P82" i="24" s="1"/>
  <c r="P39" i="13"/>
  <c r="P14" i="12"/>
  <c r="P14" i="24" s="1"/>
  <c r="P57" i="24" s="1"/>
  <c r="P14" i="13"/>
  <c r="P33" i="12"/>
  <c r="P33" i="24" s="1"/>
  <c r="P76" i="24" s="1"/>
  <c r="P33" i="13"/>
  <c r="P17" i="12"/>
  <c r="P17" i="24" s="1"/>
  <c r="P60" i="24" s="1"/>
  <c r="P17" i="13"/>
  <c r="P11" i="12"/>
  <c r="P11" i="24" s="1"/>
  <c r="P54" i="24" s="1"/>
  <c r="P11" i="13"/>
  <c r="V12" i="9"/>
  <c r="V24" i="9"/>
  <c r="V38" i="9"/>
  <c r="V27" i="9"/>
  <c r="V13" i="9"/>
  <c r="V45" i="9"/>
  <c r="N28" i="12"/>
  <c r="N28" i="24" s="1"/>
  <c r="N71" i="24" s="1"/>
  <c r="N28" i="13"/>
  <c r="O37" i="12"/>
  <c r="O37" i="24" s="1"/>
  <c r="O80" i="24" s="1"/>
  <c r="O37" i="13"/>
  <c r="D46" i="5"/>
  <c r="Q45" i="13"/>
  <c r="Q45" i="12"/>
  <c r="Q45" i="10"/>
  <c r="Q45" i="11"/>
  <c r="M44" i="12"/>
  <c r="M46" i="8"/>
  <c r="M46" i="23" s="1"/>
  <c r="M98" i="23" s="1"/>
  <c r="M46" i="9"/>
  <c r="O12" i="8"/>
  <c r="O12" i="23" s="1"/>
  <c r="O64" i="23" s="1"/>
  <c r="M11" i="8"/>
  <c r="M11" i="9"/>
  <c r="U14" i="8"/>
  <c r="T14" i="23" s="1"/>
  <c r="T66" i="23" s="1"/>
  <c r="P30" i="8"/>
  <c r="P30" i="23" s="1"/>
  <c r="P82" i="23" s="1"/>
  <c r="M28" i="8"/>
  <c r="M28" i="23" s="1"/>
  <c r="M80" i="23" s="1"/>
  <c r="M28" i="9"/>
  <c r="O53" i="9"/>
  <c r="O42" i="8"/>
  <c r="O42" i="23" s="1"/>
  <c r="O94" i="23" s="1"/>
  <c r="N22" i="12"/>
  <c r="N22" i="13"/>
  <c r="N31" i="12"/>
  <c r="N31" i="13"/>
  <c r="N36" i="12"/>
  <c r="N36" i="24" s="1"/>
  <c r="N79" i="24" s="1"/>
  <c r="N36" i="13"/>
  <c r="N17" i="12"/>
  <c r="N17" i="13"/>
  <c r="N16" i="12"/>
  <c r="N16" i="13"/>
  <c r="O26" i="12"/>
  <c r="O26" i="13"/>
  <c r="O29" i="12"/>
  <c r="O29" i="24" s="1"/>
  <c r="O72" i="24" s="1"/>
  <c r="O29" i="13"/>
  <c r="O12" i="12"/>
  <c r="O12" i="13"/>
  <c r="O7" i="12"/>
  <c r="O7" i="24" s="1"/>
  <c r="O50" i="24" s="1"/>
  <c r="O7" i="13"/>
  <c r="U42" i="8"/>
  <c r="T42" i="23" s="1"/>
  <c r="T94" i="23" s="1"/>
  <c r="U5" i="8"/>
  <c r="T5" i="23" s="1"/>
  <c r="T57" i="23" s="1"/>
  <c r="P13" i="8"/>
  <c r="P13" i="23" s="1"/>
  <c r="P65" i="23" s="1"/>
  <c r="W42" i="8"/>
  <c r="V42" i="23" s="1"/>
  <c r="V94" i="23" s="1"/>
  <c r="M26" i="8"/>
  <c r="M26" i="9"/>
  <c r="Q43" i="8"/>
  <c r="Q43" i="23" s="1"/>
  <c r="Q95" i="23" s="1"/>
  <c r="O25" i="8"/>
  <c r="O25" i="23" s="1"/>
  <c r="O77" i="23" s="1"/>
  <c r="O39" i="8"/>
  <c r="O39" i="23" s="1"/>
  <c r="O91" i="23" s="1"/>
  <c r="U11" i="8"/>
  <c r="T11" i="23" s="1"/>
  <c r="T63" i="23" s="1"/>
  <c r="AH12" i="8"/>
  <c r="AD12" i="23" s="1"/>
  <c r="AD64" i="23" s="1"/>
  <c r="AH42" i="8"/>
  <c r="AD42" i="23" s="1"/>
  <c r="AD94" i="23" s="1"/>
  <c r="W11" i="11"/>
  <c r="S5" i="12"/>
  <c r="R44" i="12"/>
  <c r="U31" i="8"/>
  <c r="T31" i="23" s="1"/>
  <c r="T83" i="23" s="1"/>
  <c r="M29" i="8"/>
  <c r="M29" i="9"/>
  <c r="P7" i="8"/>
  <c r="P7" i="23" s="1"/>
  <c r="P59" i="23" s="1"/>
  <c r="AH16" i="8"/>
  <c r="AD16" i="23" s="1"/>
  <c r="AD68" i="23" s="1"/>
  <c r="AC31" i="8"/>
  <c r="L48" i="8"/>
  <c r="L48" i="23" s="1"/>
  <c r="L100" i="23" s="1"/>
  <c r="U27" i="8"/>
  <c r="T27" i="23" s="1"/>
  <c r="T79" i="23" s="1"/>
  <c r="M7" i="8"/>
  <c r="M7" i="23" s="1"/>
  <c r="M59" i="23" s="1"/>
  <c r="M7" i="9"/>
  <c r="P43" i="8"/>
  <c r="P43" i="23" s="1"/>
  <c r="P95" i="23" s="1"/>
  <c r="AH20" i="8"/>
  <c r="AD20" i="23" s="1"/>
  <c r="AD72" i="23" s="1"/>
  <c r="AH38" i="8"/>
  <c r="AD38" i="23" s="1"/>
  <c r="AD90" i="23" s="1"/>
  <c r="W30" i="8"/>
  <c r="V30" i="23" s="1"/>
  <c r="V82" i="23" s="1"/>
  <c r="Q28" i="8"/>
  <c r="Q28" i="23" s="1"/>
  <c r="Q80" i="23" s="1"/>
  <c r="Q39" i="8"/>
  <c r="Q39" i="23" s="1"/>
  <c r="Q91" i="23" s="1"/>
  <c r="O48" i="8"/>
  <c r="O48" i="23" s="1"/>
  <c r="O100" i="23" s="1"/>
  <c r="V33" i="12"/>
  <c r="V33" i="13"/>
  <c r="V34" i="12"/>
  <c r="T34" i="24" s="1"/>
  <c r="T77" i="24" s="1"/>
  <c r="V34" i="13"/>
  <c r="V14" i="12"/>
  <c r="V14" i="13"/>
  <c r="V6" i="12"/>
  <c r="W6" i="12" s="1"/>
  <c r="V6" i="13"/>
  <c r="U37" i="12"/>
  <c r="U37" i="13"/>
  <c r="U13" i="12"/>
  <c r="S13" i="24" s="1"/>
  <c r="S56" i="24" s="1"/>
  <c r="U13" i="13"/>
  <c r="U36" i="12"/>
  <c r="U36" i="13"/>
  <c r="U26" i="12"/>
  <c r="U26" i="13"/>
  <c r="U10" i="12"/>
  <c r="U10" i="13"/>
  <c r="U26" i="8"/>
  <c r="T26" i="23" s="1"/>
  <c r="T78" i="23" s="1"/>
  <c r="Q6" i="8"/>
  <c r="Q6" i="23" s="1"/>
  <c r="Q58" i="23" s="1"/>
  <c r="Q40" i="8"/>
  <c r="Q40" i="23" s="1"/>
  <c r="Q92" i="23" s="1"/>
  <c r="AA17" i="11"/>
  <c r="Z17" i="12"/>
  <c r="AA17" i="12" s="1"/>
  <c r="Z17" i="13"/>
  <c r="AA17" i="13" s="1"/>
  <c r="AA28" i="11"/>
  <c r="Z28" i="12"/>
  <c r="AA28" i="12" s="1"/>
  <c r="Z28" i="13"/>
  <c r="AA28" i="13" s="1"/>
  <c r="AA23" i="11"/>
  <c r="Z23" i="12"/>
  <c r="AA23" i="12" s="1"/>
  <c r="Z23" i="13"/>
  <c r="AA23" i="13" s="1"/>
  <c r="AA22" i="11"/>
  <c r="Z22" i="12"/>
  <c r="AA22" i="12" s="1"/>
  <c r="Z22" i="13"/>
  <c r="AA22" i="13" s="1"/>
  <c r="AA16" i="11"/>
  <c r="Z16" i="12"/>
  <c r="AA16" i="12" s="1"/>
  <c r="Z16" i="13"/>
  <c r="AA16" i="13" s="1"/>
  <c r="M16" i="8"/>
  <c r="M16" i="9"/>
  <c r="AC37" i="8"/>
  <c r="L16" i="8"/>
  <c r="L16" i="23" s="1"/>
  <c r="L68" i="23" s="1"/>
  <c r="L17" i="8"/>
  <c r="L17" i="23" s="1"/>
  <c r="L69" i="23" s="1"/>
  <c r="U12" i="8"/>
  <c r="T12" i="23" s="1"/>
  <c r="T64" i="23" s="1"/>
  <c r="P17" i="8"/>
  <c r="P17" i="23" s="1"/>
  <c r="P69" i="23" s="1"/>
  <c r="P35" i="8"/>
  <c r="P35" i="23" s="1"/>
  <c r="P87" i="23" s="1"/>
  <c r="AH51" i="8"/>
  <c r="AD51" i="23" s="1"/>
  <c r="AD103" i="23" s="1"/>
  <c r="W43" i="8"/>
  <c r="V43" i="23" s="1"/>
  <c r="V95" i="23" s="1"/>
  <c r="W12" i="8"/>
  <c r="V12" i="23" s="1"/>
  <c r="V64" i="23" s="1"/>
  <c r="AC44" i="8"/>
  <c r="L22" i="8"/>
  <c r="L22" i="23" s="1"/>
  <c r="L74" i="23" s="1"/>
  <c r="L50" i="8"/>
  <c r="L50" i="23" s="1"/>
  <c r="L102" i="23" s="1"/>
  <c r="P22" i="8"/>
  <c r="P50" i="8"/>
  <c r="P50" i="23" s="1"/>
  <c r="P102" i="23" s="1"/>
  <c r="AH39" i="8"/>
  <c r="AD39" i="23" s="1"/>
  <c r="AD91" i="23" s="1"/>
  <c r="W40" i="8"/>
  <c r="V40" i="23" s="1"/>
  <c r="V92" i="23" s="1"/>
  <c r="W17" i="8"/>
  <c r="V17" i="23" s="1"/>
  <c r="V69" i="23" s="1"/>
  <c r="Q14" i="8"/>
  <c r="Q14" i="23" s="1"/>
  <c r="Q66" i="23" s="1"/>
  <c r="Q44" i="8"/>
  <c r="Q44" i="23" s="1"/>
  <c r="Q96" i="23" s="1"/>
  <c r="O26" i="8"/>
  <c r="O26" i="23" s="1"/>
  <c r="O78" i="23" s="1"/>
  <c r="P38" i="12"/>
  <c r="P38" i="24" s="1"/>
  <c r="P81" i="24" s="1"/>
  <c r="P38" i="13"/>
  <c r="P12" i="12"/>
  <c r="P12" i="13"/>
  <c r="P30" i="12"/>
  <c r="P30" i="13"/>
  <c r="P32" i="12"/>
  <c r="P32" i="24" s="1"/>
  <c r="P75" i="24" s="1"/>
  <c r="P32" i="13"/>
  <c r="P6" i="12"/>
  <c r="P6" i="24" s="1"/>
  <c r="P49" i="24" s="1"/>
  <c r="P6" i="13"/>
  <c r="V6" i="9"/>
  <c r="V8" i="9"/>
  <c r="V42" i="9"/>
  <c r="V31" i="9"/>
  <c r="V17" i="9"/>
  <c r="V49" i="9"/>
  <c r="N40" i="12"/>
  <c r="N40" i="24" s="1"/>
  <c r="N83" i="24" s="1"/>
  <c r="N40" i="13"/>
  <c r="O33" i="12"/>
  <c r="O33" i="13"/>
  <c r="M44" i="13"/>
  <c r="Q33" i="8"/>
  <c r="Q33" i="23" s="1"/>
  <c r="Q85" i="23" s="1"/>
  <c r="N32" i="12"/>
  <c r="N32" i="13"/>
  <c r="N34" i="12"/>
  <c r="N34" i="24" s="1"/>
  <c r="N77" i="24" s="1"/>
  <c r="N34" i="13"/>
  <c r="N27" i="12"/>
  <c r="N27" i="13"/>
  <c r="N5" i="12"/>
  <c r="N5" i="13"/>
  <c r="N44" i="11"/>
  <c r="O42" i="12"/>
  <c r="O42" i="24" s="1"/>
  <c r="O85" i="24" s="1"/>
  <c r="O42" i="13"/>
  <c r="O25" i="12"/>
  <c r="O25" i="13"/>
  <c r="O20" i="12"/>
  <c r="O20" i="13"/>
  <c r="O32" i="12"/>
  <c r="O32" i="24" s="1"/>
  <c r="O75" i="24" s="1"/>
  <c r="O32" i="13"/>
  <c r="O9" i="12"/>
  <c r="O9" i="24" s="1"/>
  <c r="O52" i="24" s="1"/>
  <c r="O9" i="13"/>
  <c r="M42" i="8"/>
  <c r="M42" i="9"/>
  <c r="U35" i="8"/>
  <c r="T35" i="23" s="1"/>
  <c r="T87" i="23" s="1"/>
  <c r="M40" i="8"/>
  <c r="M40" i="9"/>
  <c r="P9" i="8"/>
  <c r="P9" i="23" s="1"/>
  <c r="P61" i="23" s="1"/>
  <c r="M39" i="8"/>
  <c r="M39" i="23" s="1"/>
  <c r="M91" i="23" s="1"/>
  <c r="M39" i="9"/>
  <c r="W37" i="8"/>
  <c r="V37" i="23" s="1"/>
  <c r="V89" i="23" s="1"/>
  <c r="Q26" i="8"/>
  <c r="Q26" i="23" s="1"/>
  <c r="Q78" i="23" s="1"/>
  <c r="Q42" i="8"/>
  <c r="Q42" i="23" s="1"/>
  <c r="Q94" i="23" s="1"/>
  <c r="O35" i="8"/>
  <c r="O35" i="23" s="1"/>
  <c r="O87" i="23" s="1"/>
  <c r="AH44" i="8"/>
  <c r="AD44" i="23" s="1"/>
  <c r="AD96" i="23" s="1"/>
  <c r="W34" i="8"/>
  <c r="V34" i="23" s="1"/>
  <c r="V86" i="23" s="1"/>
  <c r="Q13" i="8"/>
  <c r="Q13" i="23" s="1"/>
  <c r="Q65" i="23" s="1"/>
  <c r="Q36" i="8"/>
  <c r="Q36" i="23" s="1"/>
  <c r="Q88" i="23" s="1"/>
  <c r="O30" i="8"/>
  <c r="O30" i="23" s="1"/>
  <c r="O82" i="23" s="1"/>
  <c r="W27" i="13"/>
  <c r="AD5" i="9"/>
  <c r="AD53" i="9" s="1"/>
  <c r="AC53" i="9"/>
  <c r="W41" i="11"/>
  <c r="V39" i="12"/>
  <c r="V39" i="13"/>
  <c r="V17" i="12"/>
  <c r="T17" i="24" s="1"/>
  <c r="T60" i="24" s="1"/>
  <c r="V17" i="13"/>
  <c r="V40" i="12"/>
  <c r="V40" i="13"/>
  <c r="V8" i="12"/>
  <c r="V8" i="13"/>
  <c r="T8" i="24" s="1"/>
  <c r="T51" i="24" s="1"/>
  <c r="U39" i="12"/>
  <c r="W39" i="12" s="1"/>
  <c r="U39" i="13"/>
  <c r="W39" i="13" s="1"/>
  <c r="W39" i="11"/>
  <c r="U41" i="12"/>
  <c r="U41" i="13"/>
  <c r="U35" i="12"/>
  <c r="W35" i="12" s="1"/>
  <c r="U35" i="13"/>
  <c r="U20" i="12"/>
  <c r="W20" i="12" s="1"/>
  <c r="U20" i="13"/>
  <c r="W20" i="13" s="1"/>
  <c r="U16" i="12"/>
  <c r="S16" i="24" s="1"/>
  <c r="S59" i="24" s="1"/>
  <c r="U16" i="13"/>
  <c r="M48" i="8"/>
  <c r="M48" i="23" s="1"/>
  <c r="M100" i="23" s="1"/>
  <c r="M48" i="9"/>
  <c r="AC32" i="8"/>
  <c r="L19" i="8"/>
  <c r="L19" i="23" s="1"/>
  <c r="L71" i="23" s="1"/>
  <c r="P19" i="8"/>
  <c r="P19" i="23" s="1"/>
  <c r="P71" i="23" s="1"/>
  <c r="P46" i="8"/>
  <c r="P46" i="23" s="1"/>
  <c r="P98" i="23" s="1"/>
  <c r="AH48" i="8"/>
  <c r="AD48" i="23" s="1"/>
  <c r="AD100" i="23" s="1"/>
  <c r="W50" i="8"/>
  <c r="V50" i="23" s="1"/>
  <c r="V102" i="23" s="1"/>
  <c r="W25" i="8"/>
  <c r="V25" i="23" s="1"/>
  <c r="V77" i="23" s="1"/>
  <c r="M41" i="8"/>
  <c r="M41" i="9"/>
  <c r="O29" i="8"/>
  <c r="O29" i="23" s="1"/>
  <c r="O81" i="23" s="1"/>
  <c r="T44" i="12"/>
  <c r="AA15" i="11"/>
  <c r="Z15" i="12"/>
  <c r="AA15" i="12" s="1"/>
  <c r="Z15" i="13"/>
  <c r="AA15" i="13" s="1"/>
  <c r="AA41" i="11"/>
  <c r="Z41" i="12"/>
  <c r="AA41" i="12" s="1"/>
  <c r="Z41" i="13"/>
  <c r="AA41" i="13" s="1"/>
  <c r="AA30" i="11"/>
  <c r="Z30" i="12"/>
  <c r="AA30" i="12" s="1"/>
  <c r="Z30" i="13"/>
  <c r="AA30" i="13" s="1"/>
  <c r="AA5" i="11"/>
  <c r="Z5" i="12"/>
  <c r="V5" i="24" s="1"/>
  <c r="V48" i="24" s="1"/>
  <c r="Z5" i="13"/>
  <c r="Z44" i="11"/>
  <c r="M8" i="8"/>
  <c r="M8" i="9"/>
  <c r="M9" i="8"/>
  <c r="M9" i="23" s="1"/>
  <c r="M61" i="23" s="1"/>
  <c r="M9" i="9"/>
  <c r="M44" i="8"/>
  <c r="M44" i="23" s="1"/>
  <c r="M96" i="23" s="1"/>
  <c r="M44" i="9"/>
  <c r="Q10" i="8"/>
  <c r="Q10" i="23" s="1"/>
  <c r="Q62" i="23" s="1"/>
  <c r="O20" i="8"/>
  <c r="O20" i="23" s="1"/>
  <c r="O72" i="23" s="1"/>
  <c r="O22" i="8"/>
  <c r="O22" i="23" s="1"/>
  <c r="O74" i="23" s="1"/>
  <c r="M50" i="8"/>
  <c r="M50" i="9"/>
  <c r="M50" i="23" s="1"/>
  <c r="M102" i="23" s="1"/>
  <c r="U51" i="8"/>
  <c r="T51" i="23" s="1"/>
  <c r="T103" i="23" s="1"/>
  <c r="W37" i="11"/>
  <c r="P40" i="12"/>
  <c r="P40" i="24" s="1"/>
  <c r="P83" i="24" s="1"/>
  <c r="P40" i="13"/>
  <c r="P42" i="12"/>
  <c r="P42" i="13"/>
  <c r="P28" i="12"/>
  <c r="P28" i="13"/>
  <c r="P31" i="12"/>
  <c r="P31" i="13"/>
  <c r="P8" i="12"/>
  <c r="P8" i="24" s="1"/>
  <c r="P51" i="24" s="1"/>
  <c r="P8" i="13"/>
  <c r="V10" i="9"/>
  <c r="V14" i="9"/>
  <c r="V46" i="9"/>
  <c r="V35" i="9"/>
  <c r="V21" i="9"/>
  <c r="V50" i="9"/>
  <c r="N39" i="12"/>
  <c r="N39" i="24" s="1"/>
  <c r="N82" i="24" s="1"/>
  <c r="N39" i="13"/>
  <c r="N33" i="12"/>
  <c r="N33" i="13"/>
  <c r="O23" i="12"/>
  <c r="O23" i="13"/>
  <c r="O38" i="12"/>
  <c r="O38" i="13"/>
  <c r="O27" i="12"/>
  <c r="O27" i="24" s="1"/>
  <c r="O70" i="24" s="1"/>
  <c r="O27" i="13"/>
  <c r="O11" i="12"/>
  <c r="O11" i="13"/>
  <c r="U32" i="8"/>
  <c r="T32" i="23" s="1"/>
  <c r="T84" i="23" s="1"/>
  <c r="M37" i="8"/>
  <c r="M37" i="23" s="1"/>
  <c r="M89" i="23" s="1"/>
  <c r="M37" i="9"/>
  <c r="U29" i="8"/>
  <c r="T29" i="23" s="1"/>
  <c r="T81" i="23" s="1"/>
  <c r="P27" i="8"/>
  <c r="P38" i="8"/>
  <c r="P38" i="23" s="1"/>
  <c r="P90" i="23" s="1"/>
  <c r="W27" i="12"/>
  <c r="U25" i="8"/>
  <c r="T25" i="23" s="1"/>
  <c r="T77" i="23" s="1"/>
  <c r="P23" i="8"/>
  <c r="P42" i="8"/>
  <c r="P42" i="23" s="1"/>
  <c r="P94" i="23" s="1"/>
  <c r="W48" i="8"/>
  <c r="V48" i="23" s="1"/>
  <c r="V100" i="23" s="1"/>
  <c r="W29" i="8"/>
  <c r="V29" i="23" s="1"/>
  <c r="V81" i="23" s="1"/>
  <c r="Q8" i="8"/>
  <c r="Q8" i="23" s="1"/>
  <c r="Q60" i="23" s="1"/>
  <c r="Q50" i="8"/>
  <c r="Q50" i="23" s="1"/>
  <c r="Q102" i="23" s="1"/>
  <c r="O34" i="8"/>
  <c r="O34" i="23" s="1"/>
  <c r="O86" i="23" s="1"/>
  <c r="V42" i="12"/>
  <c r="V42" i="13"/>
  <c r="V30" i="12"/>
  <c r="T30" i="24" s="1"/>
  <c r="T73" i="24" s="1"/>
  <c r="V30" i="13"/>
  <c r="V32" i="12"/>
  <c r="T32" i="24" s="1"/>
  <c r="T75" i="24" s="1"/>
  <c r="V32" i="13"/>
  <c r="V35" i="12"/>
  <c r="T35" i="24" s="1"/>
  <c r="T78" i="24" s="1"/>
  <c r="V35" i="13"/>
  <c r="V10" i="12"/>
  <c r="V10" i="13"/>
  <c r="U42" i="12"/>
  <c r="S42" i="24" s="1"/>
  <c r="S85" i="24" s="1"/>
  <c r="U42" i="13"/>
  <c r="U24" i="12"/>
  <c r="S24" i="24" s="1"/>
  <c r="S67" i="24" s="1"/>
  <c r="U24" i="13"/>
  <c r="W24" i="13" s="1"/>
  <c r="U34" i="12"/>
  <c r="W34" i="12" s="1"/>
  <c r="U34" i="13"/>
  <c r="W34" i="13" s="1"/>
  <c r="U19" i="12"/>
  <c r="W19" i="12" s="1"/>
  <c r="U19" i="13"/>
  <c r="W19" i="13" s="1"/>
  <c r="U5" i="12"/>
  <c r="S5" i="24" s="1"/>
  <c r="S48" i="24" s="1"/>
  <c r="U5" i="13"/>
  <c r="U44" i="11"/>
  <c r="U16" i="8"/>
  <c r="T16" i="23" s="1"/>
  <c r="T68" i="23" s="1"/>
  <c r="Q16" i="8"/>
  <c r="Q16" i="23" s="1"/>
  <c r="Q68" i="23" s="1"/>
  <c r="W5" i="11"/>
  <c r="AA13" i="11"/>
  <c r="Z13" i="12"/>
  <c r="AA13" i="12" s="1"/>
  <c r="Z13" i="13"/>
  <c r="AA13" i="13" s="1"/>
  <c r="AA40" i="11"/>
  <c r="Z40" i="12"/>
  <c r="AA40" i="12" s="1"/>
  <c r="Z40" i="13"/>
  <c r="AA40" i="13" s="1"/>
  <c r="AA12" i="11"/>
  <c r="Z12" i="12"/>
  <c r="AA12" i="12" s="1"/>
  <c r="Z12" i="13"/>
  <c r="AA12" i="13" s="1"/>
  <c r="AA7" i="11"/>
  <c r="Z7" i="12"/>
  <c r="AA7" i="12" s="1"/>
  <c r="Z7" i="13"/>
  <c r="AA7" i="13" s="1"/>
  <c r="M36" i="8"/>
  <c r="M36" i="23" s="1"/>
  <c r="M88" i="23" s="1"/>
  <c r="M36" i="9"/>
  <c r="M15" i="8"/>
  <c r="M15" i="9"/>
  <c r="U7" i="8"/>
  <c r="T7" i="23" s="1"/>
  <c r="T59" i="23" s="1"/>
  <c r="P6" i="8"/>
  <c r="P6" i="23" s="1"/>
  <c r="P58" i="23" s="1"/>
  <c r="AH19" i="8"/>
  <c r="AD19" i="23" s="1"/>
  <c r="AD71" i="23" s="1"/>
  <c r="AH36" i="8"/>
  <c r="AD36" i="23" s="1"/>
  <c r="AD88" i="23" s="1"/>
  <c r="W11" i="8"/>
  <c r="V11" i="23" s="1"/>
  <c r="V63" i="23" s="1"/>
  <c r="M21" i="8"/>
  <c r="M21" i="23" s="1"/>
  <c r="M73" i="23" s="1"/>
  <c r="M21" i="9"/>
  <c r="AC22" i="8"/>
  <c r="L41" i="8"/>
  <c r="L41" i="23" s="1"/>
  <c r="L93" i="23" s="1"/>
  <c r="U17" i="8"/>
  <c r="T17" i="23" s="1"/>
  <c r="T69" i="23" s="1"/>
  <c r="P28" i="8"/>
  <c r="P44" i="8"/>
  <c r="P44" i="23" s="1"/>
  <c r="P96" i="23" s="1"/>
  <c r="AH37" i="8"/>
  <c r="AD37" i="23" s="1"/>
  <c r="AD89" i="23" s="1"/>
  <c r="W39" i="8"/>
  <c r="V39" i="23" s="1"/>
  <c r="V91" i="23" s="1"/>
  <c r="W16" i="8"/>
  <c r="V16" i="23" s="1"/>
  <c r="V68" i="23" s="1"/>
  <c r="Q38" i="8"/>
  <c r="Q38" i="23" s="1"/>
  <c r="Q90" i="23" s="1"/>
  <c r="O16" i="8"/>
  <c r="O16" i="23" s="1"/>
  <c r="O68" i="23" s="1"/>
  <c r="O33" i="8"/>
  <c r="O33" i="23" s="1"/>
  <c r="O85" i="23" s="1"/>
  <c r="P24" i="12"/>
  <c r="P24" i="24" s="1"/>
  <c r="P67" i="24" s="1"/>
  <c r="P24" i="13"/>
  <c r="P34" i="12"/>
  <c r="P34" i="24" s="1"/>
  <c r="P77" i="24" s="1"/>
  <c r="P34" i="13"/>
  <c r="P27" i="12"/>
  <c r="P27" i="13"/>
  <c r="P13" i="12"/>
  <c r="P13" i="13"/>
  <c r="P10" i="12"/>
  <c r="P10" i="24" s="1"/>
  <c r="P53" i="24" s="1"/>
  <c r="P10" i="13"/>
  <c r="V18" i="9"/>
  <c r="V22" i="9"/>
  <c r="V48" i="9"/>
  <c r="V39" i="9"/>
  <c r="V25" i="9"/>
  <c r="V47" i="9"/>
  <c r="N37" i="12"/>
  <c r="N37" i="24" s="1"/>
  <c r="N80" i="24" s="1"/>
  <c r="N37" i="13"/>
  <c r="O24" i="12"/>
  <c r="O24" i="24" s="1"/>
  <c r="O67" i="24" s="1"/>
  <c r="O24" i="13"/>
  <c r="Q31" i="8"/>
  <c r="Q31" i="23" s="1"/>
  <c r="Q83" i="23" s="1"/>
  <c r="N19" i="12"/>
  <c r="N19" i="13"/>
  <c r="N13" i="12"/>
  <c r="N13" i="13"/>
  <c r="N18" i="12"/>
  <c r="N18" i="13"/>
  <c r="N14" i="12"/>
  <c r="N14" i="24" s="1"/>
  <c r="N57" i="24" s="1"/>
  <c r="N14" i="13"/>
  <c r="N9" i="12"/>
  <c r="N9" i="13"/>
  <c r="O30" i="12"/>
  <c r="O30" i="13"/>
  <c r="O35" i="12"/>
  <c r="O35" i="13"/>
  <c r="O14" i="12"/>
  <c r="O14" i="24" s="1"/>
  <c r="O57" i="24" s="1"/>
  <c r="O14" i="13"/>
  <c r="O41" i="12"/>
  <c r="O41" i="13"/>
  <c r="O6" i="12"/>
  <c r="O6" i="13"/>
  <c r="U10" i="8"/>
  <c r="T10" i="23" s="1"/>
  <c r="T62" i="23" s="1"/>
  <c r="U33" i="8"/>
  <c r="T33" i="23" s="1"/>
  <c r="T85" i="23" s="1"/>
  <c r="P45" i="8"/>
  <c r="P45" i="23" s="1"/>
  <c r="P97" i="23" s="1"/>
  <c r="W28" i="8"/>
  <c r="V28" i="23" s="1"/>
  <c r="V80" i="23" s="1"/>
  <c r="W8" i="8"/>
  <c r="V8" i="23" s="1"/>
  <c r="V60" i="23" s="1"/>
  <c r="Q12" i="8"/>
  <c r="Q12" i="23" s="1"/>
  <c r="Q64" i="23" s="1"/>
  <c r="O14" i="8"/>
  <c r="O14" i="23" s="1"/>
  <c r="O66" i="23" s="1"/>
  <c r="O47" i="8"/>
  <c r="O47" i="23" s="1"/>
  <c r="O99" i="23" s="1"/>
  <c r="U34" i="8"/>
  <c r="T34" i="23" s="1"/>
  <c r="T86" i="23" s="1"/>
  <c r="W51" i="8"/>
  <c r="V51" i="23" s="1"/>
  <c r="V103" i="23" s="1"/>
  <c r="W33" i="8"/>
  <c r="V33" i="23" s="1"/>
  <c r="V85" i="23" s="1"/>
  <c r="Q9" i="8"/>
  <c r="Q9" i="23" s="1"/>
  <c r="Q61" i="23" s="1"/>
  <c r="Q30" i="8"/>
  <c r="Q30" i="23" s="1"/>
  <c r="Q82" i="23" s="1"/>
  <c r="O24" i="8"/>
  <c r="O24" i="23" s="1"/>
  <c r="O76" i="23" s="1"/>
  <c r="L48" i="10"/>
  <c r="L48" i="12" s="1"/>
  <c r="AD53" i="7"/>
  <c r="U30" i="8"/>
  <c r="T30" i="23" s="1"/>
  <c r="T82" i="23" s="1"/>
  <c r="M19" i="8"/>
  <c r="M19" i="23" s="1"/>
  <c r="M71" i="23" s="1"/>
  <c r="M19" i="9"/>
  <c r="V25" i="12"/>
  <c r="W25" i="12" s="1"/>
  <c r="V25" i="13"/>
  <c r="W25" i="13" s="1"/>
  <c r="V29" i="12"/>
  <c r="W29" i="12" s="1"/>
  <c r="V29" i="13"/>
  <c r="V23" i="12"/>
  <c r="V23" i="13"/>
  <c r="V15" i="12"/>
  <c r="T15" i="24" s="1"/>
  <c r="T58" i="24" s="1"/>
  <c r="V15" i="13"/>
  <c r="V16" i="12"/>
  <c r="V16" i="13"/>
  <c r="U14" i="12"/>
  <c r="U14" i="13"/>
  <c r="W14" i="13" s="1"/>
  <c r="U33" i="12"/>
  <c r="U33" i="13"/>
  <c r="W33" i="13" s="1"/>
  <c r="U17" i="12"/>
  <c r="W17" i="12" s="1"/>
  <c r="U17" i="13"/>
  <c r="W17" i="13" s="1"/>
  <c r="U18" i="12"/>
  <c r="W18" i="12" s="1"/>
  <c r="U18" i="13"/>
  <c r="W18" i="13" s="1"/>
  <c r="U7" i="12"/>
  <c r="U7" i="13"/>
  <c r="W7" i="13" s="1"/>
  <c r="AC17" i="8"/>
  <c r="L36" i="8"/>
  <c r="L36" i="23" s="1"/>
  <c r="L88" i="23" s="1"/>
  <c r="U9" i="8"/>
  <c r="T9" i="23" s="1"/>
  <c r="T61" i="23" s="1"/>
  <c r="P21" i="8"/>
  <c r="P41" i="8"/>
  <c r="P41" i="23" s="1"/>
  <c r="P93" i="23" s="1"/>
  <c r="AH26" i="8"/>
  <c r="AD26" i="23" s="1"/>
  <c r="AD78" i="23" s="1"/>
  <c r="W47" i="8"/>
  <c r="V47" i="23" s="1"/>
  <c r="V99" i="23" s="1"/>
  <c r="W6" i="8"/>
  <c r="V6" i="23" s="1"/>
  <c r="V58" i="23" s="1"/>
  <c r="O15" i="8"/>
  <c r="O15" i="23" s="1"/>
  <c r="O67" i="23" s="1"/>
  <c r="O45" i="8"/>
  <c r="O45" i="23" s="1"/>
  <c r="O97" i="23" s="1"/>
  <c r="W34" i="11"/>
  <c r="AA32" i="11"/>
  <c r="Z32" i="12"/>
  <c r="AA32" i="12" s="1"/>
  <c r="Z32" i="13"/>
  <c r="AA32" i="13" s="1"/>
  <c r="AA36" i="11"/>
  <c r="Z36" i="12"/>
  <c r="AA36" i="12" s="1"/>
  <c r="Z36" i="13"/>
  <c r="AA36" i="13" s="1"/>
  <c r="AA38" i="11"/>
  <c r="Z38" i="12"/>
  <c r="AA38" i="12" s="1"/>
  <c r="Z38" i="13"/>
  <c r="AA38" i="13" s="1"/>
  <c r="AA19" i="11"/>
  <c r="Z19" i="12"/>
  <c r="AA19" i="12" s="1"/>
  <c r="Z19" i="13"/>
  <c r="AA19" i="13" s="1"/>
  <c r="AA9" i="11"/>
  <c r="Z9" i="12"/>
  <c r="AA9" i="12" s="1"/>
  <c r="Z9" i="13"/>
  <c r="AA9" i="13" s="1"/>
  <c r="M22" i="8"/>
  <c r="M22" i="23" s="1"/>
  <c r="M74" i="23" s="1"/>
  <c r="M22" i="9"/>
  <c r="AC46" i="8"/>
  <c r="U50" i="8"/>
  <c r="T50" i="23" s="1"/>
  <c r="T102" i="23" s="1"/>
  <c r="U19" i="8"/>
  <c r="T19" i="23" s="1"/>
  <c r="T71" i="23" s="1"/>
  <c r="Q34" i="8"/>
  <c r="Q34" i="23" s="1"/>
  <c r="Q86" i="23" s="1"/>
  <c r="O6" i="8"/>
  <c r="O31" i="8"/>
  <c r="O31" i="23" s="1"/>
  <c r="O83" i="23" s="1"/>
  <c r="W24" i="11"/>
  <c r="AC24" i="8"/>
  <c r="U45" i="8"/>
  <c r="T45" i="23" s="1"/>
  <c r="T97" i="23" s="1"/>
  <c r="M35" i="8"/>
  <c r="M35" i="9"/>
  <c r="W10" i="11"/>
  <c r="P23" i="12"/>
  <c r="P23" i="13"/>
  <c r="P26" i="12"/>
  <c r="P26" i="24" s="1"/>
  <c r="P69" i="24" s="1"/>
  <c r="P26" i="13"/>
  <c r="P22" i="12"/>
  <c r="P22" i="13"/>
  <c r="P29" i="12"/>
  <c r="P29" i="13"/>
  <c r="P16" i="12"/>
  <c r="P16" i="13"/>
  <c r="V26" i="9"/>
  <c r="V28" i="9"/>
  <c r="V11" i="9"/>
  <c r="V43" i="9"/>
  <c r="V29" i="9"/>
  <c r="N7" i="12"/>
  <c r="N7" i="24" s="1"/>
  <c r="N50" i="24" s="1"/>
  <c r="N7" i="13"/>
  <c r="U41" i="8"/>
  <c r="T41" i="23" s="1"/>
  <c r="T93" i="23" s="1"/>
  <c r="U6" i="8"/>
  <c r="T6" i="23" s="1"/>
  <c r="T58" i="23" s="1"/>
  <c r="P39" i="8"/>
  <c r="P39" i="23" s="1"/>
  <c r="P91" i="23" s="1"/>
  <c r="Q53" i="9"/>
  <c r="O40" i="8"/>
  <c r="O40" i="23" s="1"/>
  <c r="O92" i="23" s="1"/>
  <c r="W8" i="12"/>
  <c r="N21" i="12"/>
  <c r="N21" i="24" s="1"/>
  <c r="N64" i="24" s="1"/>
  <c r="N21" i="13"/>
  <c r="N42" i="12"/>
  <c r="N42" i="24" s="1"/>
  <c r="N85" i="24" s="1"/>
  <c r="N42" i="13"/>
  <c r="N41" i="12"/>
  <c r="N41" i="13"/>
  <c r="N25" i="12"/>
  <c r="N25" i="13"/>
  <c r="N11" i="12"/>
  <c r="N11" i="24" s="1"/>
  <c r="N54" i="24" s="1"/>
  <c r="N11" i="13"/>
  <c r="O40" i="12"/>
  <c r="O40" i="24" s="1"/>
  <c r="O83" i="24" s="1"/>
  <c r="O40" i="13"/>
  <c r="O31" i="12"/>
  <c r="O31" i="13"/>
  <c r="O22" i="12"/>
  <c r="O22" i="13"/>
  <c r="O34" i="12"/>
  <c r="O34" i="24" s="1"/>
  <c r="O77" i="24" s="1"/>
  <c r="O34" i="13"/>
  <c r="O8" i="12"/>
  <c r="O8" i="24" s="1"/>
  <c r="O51" i="24" s="1"/>
  <c r="O8" i="13"/>
  <c r="P14" i="8"/>
  <c r="P14" i="23" s="1"/>
  <c r="P66" i="23" s="1"/>
  <c r="P48" i="8"/>
  <c r="P48" i="23" s="1"/>
  <c r="P100" i="23" s="1"/>
  <c r="W32" i="8"/>
  <c r="V32" i="23" s="1"/>
  <c r="V84" i="23" s="1"/>
  <c r="W9" i="8"/>
  <c r="V9" i="23" s="1"/>
  <c r="V61" i="23" s="1"/>
  <c r="Q24" i="8"/>
  <c r="Q24" i="23" s="1"/>
  <c r="Q76" i="23" s="1"/>
  <c r="Q48" i="8"/>
  <c r="Q48" i="23" s="1"/>
  <c r="Q100" i="23" s="1"/>
  <c r="O23" i="8"/>
  <c r="O23" i="23" s="1"/>
  <c r="O75" i="23" s="1"/>
  <c r="W35" i="11"/>
  <c r="U38" i="8"/>
  <c r="T38" i="23" s="1"/>
  <c r="T90" i="23" s="1"/>
  <c r="M38" i="8"/>
  <c r="M38" i="9"/>
  <c r="W21" i="11"/>
  <c r="P29" i="8"/>
  <c r="P36" i="8"/>
  <c r="P36" i="23" s="1"/>
  <c r="P88" i="23" s="1"/>
  <c r="R53" i="9"/>
  <c r="L8" i="8"/>
  <c r="L8" i="23" s="1"/>
  <c r="L60" i="23" s="1"/>
  <c r="L44" i="8"/>
  <c r="L44" i="23" s="1"/>
  <c r="L96" i="23" s="1"/>
  <c r="P25" i="8"/>
  <c r="P25" i="23" s="1"/>
  <c r="P77" i="23" s="1"/>
  <c r="P31" i="8"/>
  <c r="P31" i="23" s="1"/>
  <c r="P83" i="23" s="1"/>
  <c r="AH29" i="8"/>
  <c r="AD29" i="23" s="1"/>
  <c r="AD81" i="23" s="1"/>
  <c r="W20" i="8"/>
  <c r="V20" i="23" s="1"/>
  <c r="V72" i="23" s="1"/>
  <c r="W10" i="8"/>
  <c r="V10" i="23" s="1"/>
  <c r="V62" i="23" s="1"/>
  <c r="Q17" i="8"/>
  <c r="Q17" i="23" s="1"/>
  <c r="Q69" i="23" s="1"/>
  <c r="O7" i="8"/>
  <c r="O7" i="23" s="1"/>
  <c r="O59" i="23" s="1"/>
  <c r="O50" i="8"/>
  <c r="O50" i="23" s="1"/>
  <c r="O102" i="23" s="1"/>
  <c r="W30" i="11"/>
  <c r="V31" i="12"/>
  <c r="V31" i="13"/>
  <c r="V36" i="12"/>
  <c r="W36" i="12" s="1"/>
  <c r="V36" i="13"/>
  <c r="V13" i="12"/>
  <c r="T13" i="24" s="1"/>
  <c r="T56" i="24" s="1"/>
  <c r="V13" i="13"/>
  <c r="V26" i="12"/>
  <c r="W26" i="12" s="1"/>
  <c r="V26" i="13"/>
  <c r="W26" i="13" s="1"/>
  <c r="V5" i="12"/>
  <c r="T5" i="24" s="1"/>
  <c r="T48" i="24" s="1"/>
  <c r="V44" i="11"/>
  <c r="V5" i="13"/>
  <c r="U38" i="12"/>
  <c r="S38" i="24" s="1"/>
  <c r="S81" i="24" s="1"/>
  <c r="U38" i="13"/>
  <c r="U15" i="12"/>
  <c r="W15" i="12" s="1"/>
  <c r="U15" i="13"/>
  <c r="U23" i="12"/>
  <c r="W23" i="12" s="1"/>
  <c r="U23" i="13"/>
  <c r="U30" i="12"/>
  <c r="S30" i="24" s="1"/>
  <c r="S73" i="24" s="1"/>
  <c r="U30" i="13"/>
  <c r="W30" i="13" s="1"/>
  <c r="U9" i="12"/>
  <c r="W9" i="12" s="1"/>
  <c r="U9" i="13"/>
  <c r="AC34" i="8"/>
  <c r="L28" i="8"/>
  <c r="L28" i="23" s="1"/>
  <c r="L80" i="23" s="1"/>
  <c r="M12" i="8"/>
  <c r="M12" i="9"/>
  <c r="Q35" i="8"/>
  <c r="Q35" i="23" s="1"/>
  <c r="Q87" i="23" s="1"/>
  <c r="AA27" i="11"/>
  <c r="Z27" i="12"/>
  <c r="AA27" i="12" s="1"/>
  <c r="Z27" i="13"/>
  <c r="AA27" i="13" s="1"/>
  <c r="AA26" i="11"/>
  <c r="Z26" i="12"/>
  <c r="AA26" i="12" s="1"/>
  <c r="Z26" i="13"/>
  <c r="AA26" i="13" s="1"/>
  <c r="AA35" i="11"/>
  <c r="Z35" i="12"/>
  <c r="AA35" i="12" s="1"/>
  <c r="Z35" i="13"/>
  <c r="AA35" i="13" s="1"/>
  <c r="AA42" i="11"/>
  <c r="Z42" i="12"/>
  <c r="AA42" i="12" s="1"/>
  <c r="Z42" i="13"/>
  <c r="AA42" i="13" s="1"/>
  <c r="AA11" i="11"/>
  <c r="Z11" i="12"/>
  <c r="AA11" i="12" s="1"/>
  <c r="Z11" i="13"/>
  <c r="AA11" i="13" s="1"/>
  <c r="M14" i="8"/>
  <c r="M14" i="23" s="1"/>
  <c r="M66" i="23" s="1"/>
  <c r="M14" i="9"/>
  <c r="AC18" i="8"/>
  <c r="L46" i="8"/>
  <c r="L46" i="23" s="1"/>
  <c r="L98" i="23" s="1"/>
  <c r="P51" i="8"/>
  <c r="P51" i="23" s="1"/>
  <c r="P103" i="23" s="1"/>
  <c r="AH7" i="8"/>
  <c r="AD7" i="23" s="1"/>
  <c r="AD59" i="23" s="1"/>
  <c r="AH49" i="8"/>
  <c r="AD49" i="23" s="1"/>
  <c r="AD101" i="23" s="1"/>
  <c r="W22" i="8"/>
  <c r="V22" i="23" s="1"/>
  <c r="V74" i="23" s="1"/>
  <c r="AH15" i="8"/>
  <c r="AD15" i="23" s="1"/>
  <c r="AD67" i="23" s="1"/>
  <c r="M49" i="8"/>
  <c r="M49" i="9"/>
  <c r="O11" i="8"/>
  <c r="O11" i="23" s="1"/>
  <c r="O63" i="23" s="1"/>
  <c r="W40" i="13"/>
  <c r="W33" i="11"/>
  <c r="P21" i="12"/>
  <c r="P21" i="13"/>
  <c r="P41" i="12"/>
  <c r="P41" i="24" s="1"/>
  <c r="P84" i="24" s="1"/>
  <c r="P41" i="13"/>
  <c r="P37" i="12"/>
  <c r="P37" i="24" s="1"/>
  <c r="P80" i="24" s="1"/>
  <c r="P37" i="13"/>
  <c r="P5" i="12"/>
  <c r="P44" i="11"/>
  <c r="P5" i="13"/>
  <c r="V5" i="9"/>
  <c r="V53" i="7"/>
  <c r="V58" i="7" s="1"/>
  <c r="V7" i="8" s="1"/>
  <c r="U7" i="23" s="1"/>
  <c r="U59" i="23" s="1"/>
  <c r="V32" i="9"/>
  <c r="V36" i="9"/>
  <c r="V15" i="9"/>
  <c r="V51" i="9"/>
  <c r="V33" i="9"/>
  <c r="D10" i="5"/>
  <c r="T56" i="6" s="1"/>
  <c r="L48" i="11" l="1"/>
  <c r="W32" i="13"/>
  <c r="M34" i="8"/>
  <c r="M34" i="23" s="1"/>
  <c r="M86" i="23" s="1"/>
  <c r="W12" i="13"/>
  <c r="T6" i="24"/>
  <c r="T49" i="24" s="1"/>
  <c r="AI51" i="8"/>
  <c r="AE51" i="23" s="1"/>
  <c r="AE103" i="23" s="1"/>
  <c r="AI17" i="8"/>
  <c r="AE17" i="23" s="1"/>
  <c r="AE69" i="23" s="1"/>
  <c r="W43" i="23"/>
  <c r="W95" i="23" s="1"/>
  <c r="AI7" i="8"/>
  <c r="AE7" i="23" s="1"/>
  <c r="AE59" i="23" s="1"/>
  <c r="X39" i="8"/>
  <c r="W39" i="23" s="1"/>
  <c r="W91" i="23" s="1"/>
  <c r="AI46" i="8"/>
  <c r="AE46" i="23" s="1"/>
  <c r="AE98" i="23" s="1"/>
  <c r="X50" i="8"/>
  <c r="W50" i="23" s="1"/>
  <c r="W102" i="23" s="1"/>
  <c r="X28" i="8"/>
  <c r="W28" i="23" s="1"/>
  <c r="W80" i="23" s="1"/>
  <c r="AI31" i="8"/>
  <c r="AE31" i="23" s="1"/>
  <c r="AE83" i="23" s="1"/>
  <c r="AI16" i="8"/>
  <c r="AE16" i="23" s="1"/>
  <c r="AE68" i="23" s="1"/>
  <c r="X21" i="8"/>
  <c r="W21" i="23" s="1"/>
  <c r="W73" i="23" s="1"/>
  <c r="AI29" i="8"/>
  <c r="AE29" i="23" s="1"/>
  <c r="AE81" i="23" s="1"/>
  <c r="AI10" i="8"/>
  <c r="AE10" i="23" s="1"/>
  <c r="AE62" i="23" s="1"/>
  <c r="X30" i="8"/>
  <c r="W30" i="23" s="1"/>
  <c r="W82" i="23" s="1"/>
  <c r="X45" i="8"/>
  <c r="W45" i="23" s="1"/>
  <c r="W97" i="23" s="1"/>
  <c r="X33" i="8"/>
  <c r="W33" i="23" s="1"/>
  <c r="W85" i="23" s="1"/>
  <c r="X10" i="8"/>
  <c r="W10" i="23" s="1"/>
  <c r="W62" i="23" s="1"/>
  <c r="M49" i="23"/>
  <c r="M101" i="23" s="1"/>
  <c r="P16" i="24"/>
  <c r="P59" i="24" s="1"/>
  <c r="P23" i="24"/>
  <c r="P66" i="24" s="1"/>
  <c r="S33" i="24"/>
  <c r="S76" i="24" s="1"/>
  <c r="T23" i="24"/>
  <c r="T66" i="24" s="1"/>
  <c r="W21" i="12"/>
  <c r="O35" i="24"/>
  <c r="O78" i="24" s="1"/>
  <c r="N18" i="24"/>
  <c r="N61" i="24" s="1"/>
  <c r="O38" i="24"/>
  <c r="O81" i="24" s="1"/>
  <c r="P31" i="24"/>
  <c r="P74" i="24" s="1"/>
  <c r="T39" i="24"/>
  <c r="T82" i="24" s="1"/>
  <c r="N32" i="24"/>
  <c r="N75" i="24" s="1"/>
  <c r="S10" i="24"/>
  <c r="S53" i="24" s="1"/>
  <c r="S37" i="24"/>
  <c r="S80" i="24" s="1"/>
  <c r="T33" i="24"/>
  <c r="T76" i="24" s="1"/>
  <c r="M29" i="23"/>
  <c r="M81" i="23" s="1"/>
  <c r="O26" i="24"/>
  <c r="O69" i="24" s="1"/>
  <c r="N31" i="24"/>
  <c r="N74" i="24" s="1"/>
  <c r="M10" i="23"/>
  <c r="M62" i="23" s="1"/>
  <c r="S32" i="24"/>
  <c r="S75" i="24" s="1"/>
  <c r="P19" i="24"/>
  <c r="P62" i="24" s="1"/>
  <c r="T9" i="24"/>
  <c r="T52" i="24" s="1"/>
  <c r="O21" i="24"/>
  <c r="O64" i="24" s="1"/>
  <c r="V31" i="24"/>
  <c r="V74" i="24" s="1"/>
  <c r="W25" i="23"/>
  <c r="W77" i="23" s="1"/>
  <c r="AI30" i="8"/>
  <c r="AE30" i="23" s="1"/>
  <c r="AE82" i="23" s="1"/>
  <c r="X51" i="8"/>
  <c r="W51" i="23" s="1"/>
  <c r="W103" i="23" s="1"/>
  <c r="AI22" i="8"/>
  <c r="AE22" i="23" s="1"/>
  <c r="AE74" i="23" s="1"/>
  <c r="X12" i="8"/>
  <c r="W12" i="23" s="1"/>
  <c r="W64" i="23" s="1"/>
  <c r="X13" i="8"/>
  <c r="W13" i="23" s="1"/>
  <c r="W65" i="23" s="1"/>
  <c r="AI34" i="8"/>
  <c r="AE34" i="23" s="1"/>
  <c r="AE86" i="23" s="1"/>
  <c r="AI35" i="8"/>
  <c r="AE35" i="23" s="1"/>
  <c r="AE87" i="23" s="1"/>
  <c r="X32" i="8"/>
  <c r="W32" i="23" s="1"/>
  <c r="W84" i="23" s="1"/>
  <c r="AI38" i="8"/>
  <c r="AE38" i="23" s="1"/>
  <c r="AE90" i="23" s="1"/>
  <c r="AI40" i="8"/>
  <c r="AE40" i="23" s="1"/>
  <c r="AE92" i="23" s="1"/>
  <c r="X29" i="8"/>
  <c r="W29" i="23" s="1"/>
  <c r="W81" i="23" s="1"/>
  <c r="AI41" i="8"/>
  <c r="AE41" i="23" s="1"/>
  <c r="AE93" i="23" s="1"/>
  <c r="AI39" i="8"/>
  <c r="AE39" i="23" s="1"/>
  <c r="AE91" i="23" s="1"/>
  <c r="O5" i="24"/>
  <c r="O48" i="24" s="1"/>
  <c r="H11" i="26"/>
  <c r="T36" i="24"/>
  <c r="T79" i="24" s="1"/>
  <c r="AI43" i="8"/>
  <c r="AE43" i="23" s="1"/>
  <c r="AE95" i="23" s="1"/>
  <c r="W19" i="23"/>
  <c r="W71" i="23" s="1"/>
  <c r="W24" i="23"/>
  <c r="W76" i="23" s="1"/>
  <c r="W11" i="23"/>
  <c r="W63" i="23" s="1"/>
  <c r="AI15" i="8"/>
  <c r="AE15" i="23" s="1"/>
  <c r="AE67" i="23" s="1"/>
  <c r="W44" i="23"/>
  <c r="W96" i="23" s="1"/>
  <c r="W41" i="23"/>
  <c r="W93" i="23" s="1"/>
  <c r="AI9" i="8"/>
  <c r="AE9" i="23" s="1"/>
  <c r="AE61" i="23" s="1"/>
  <c r="AI48" i="8"/>
  <c r="AE48" i="23" s="1"/>
  <c r="AE100" i="23" s="1"/>
  <c r="AI45" i="8"/>
  <c r="AE45" i="23" s="1"/>
  <c r="AE97" i="23" s="1"/>
  <c r="T31" i="24"/>
  <c r="T74" i="24" s="1"/>
  <c r="P29" i="24"/>
  <c r="P72" i="24" s="1"/>
  <c r="W7" i="12"/>
  <c r="S14" i="24"/>
  <c r="S57" i="24" s="1"/>
  <c r="O6" i="24"/>
  <c r="O49" i="24" s="1"/>
  <c r="O30" i="24"/>
  <c r="O73" i="24" s="1"/>
  <c r="N13" i="24"/>
  <c r="N56" i="24" s="1"/>
  <c r="O23" i="24"/>
  <c r="O66" i="24" s="1"/>
  <c r="P28" i="24"/>
  <c r="P71" i="24" s="1"/>
  <c r="M40" i="23"/>
  <c r="M92" i="23" s="1"/>
  <c r="N5" i="24"/>
  <c r="N48" i="24" s="1"/>
  <c r="P30" i="24"/>
  <c r="P73" i="24" s="1"/>
  <c r="S26" i="24"/>
  <c r="S69" i="24" s="1"/>
  <c r="N16" i="24"/>
  <c r="N59" i="24" s="1"/>
  <c r="N22" i="24"/>
  <c r="N65" i="24" s="1"/>
  <c r="M11" i="23"/>
  <c r="M63" i="23" s="1"/>
  <c r="S8" i="24"/>
  <c r="S51" i="24" s="1"/>
  <c r="T19" i="24"/>
  <c r="T62" i="24" s="1"/>
  <c r="P18" i="24"/>
  <c r="P61" i="24" s="1"/>
  <c r="M20" i="8"/>
  <c r="M20" i="23" s="1"/>
  <c r="M72" i="23" s="1"/>
  <c r="V41" i="24"/>
  <c r="V84" i="24" s="1"/>
  <c r="S7" i="24"/>
  <c r="S50" i="24" s="1"/>
  <c r="AI47" i="8"/>
  <c r="AE47" i="23" s="1"/>
  <c r="AE99" i="23" s="1"/>
  <c r="AI32" i="8"/>
  <c r="AE32" i="23" s="1"/>
  <c r="AE84" i="23" s="1"/>
  <c r="AI21" i="8"/>
  <c r="AE21" i="23" s="1"/>
  <c r="AE73" i="23" s="1"/>
  <c r="AI20" i="8"/>
  <c r="AE20" i="23" s="1"/>
  <c r="AE72" i="23" s="1"/>
  <c r="AI37" i="8"/>
  <c r="AE37" i="23" s="1"/>
  <c r="AE89" i="23" s="1"/>
  <c r="AI42" i="8"/>
  <c r="AE42" i="23" s="1"/>
  <c r="AE94" i="23" s="1"/>
  <c r="W5" i="23"/>
  <c r="W57" i="23" s="1"/>
  <c r="L9" i="25"/>
  <c r="L14" i="25" s="1"/>
  <c r="M12" i="23"/>
  <c r="M64" i="23" s="1"/>
  <c r="O22" i="24"/>
  <c r="O65" i="24" s="1"/>
  <c r="N25" i="24"/>
  <c r="N68" i="24" s="1"/>
  <c r="M35" i="23"/>
  <c r="M87" i="23" s="1"/>
  <c r="P13" i="24"/>
  <c r="P56" i="24" s="1"/>
  <c r="T42" i="24"/>
  <c r="T85" i="24" s="1"/>
  <c r="M8" i="23"/>
  <c r="M60" i="23" s="1"/>
  <c r="O20" i="24"/>
  <c r="O63" i="24" s="1"/>
  <c r="O18" i="24"/>
  <c r="O61" i="24" s="1"/>
  <c r="N23" i="24"/>
  <c r="N66" i="24" s="1"/>
  <c r="P20" i="24"/>
  <c r="P63" i="24" s="1"/>
  <c r="S25" i="24"/>
  <c r="S68" i="24" s="1"/>
  <c r="T12" i="24"/>
  <c r="T55" i="24" s="1"/>
  <c r="V17" i="24"/>
  <c r="V60" i="24" s="1"/>
  <c r="T29" i="24"/>
  <c r="T72" i="24" s="1"/>
  <c r="AI5" i="8"/>
  <c r="AI14" i="8"/>
  <c r="AE14" i="23" s="1"/>
  <c r="AE66" i="23" s="1"/>
  <c r="X53" i="9"/>
  <c r="AI18" i="8"/>
  <c r="AE18" i="23" s="1"/>
  <c r="AE70" i="23" s="1"/>
  <c r="X47" i="8"/>
  <c r="W47" i="23" s="1"/>
  <c r="W99" i="23" s="1"/>
  <c r="X34" i="8"/>
  <c r="W34" i="23" s="1"/>
  <c r="W86" i="23" s="1"/>
  <c r="AI26" i="8"/>
  <c r="AE26" i="23" s="1"/>
  <c r="AE78" i="23" s="1"/>
  <c r="X20" i="8"/>
  <c r="W20" i="23" s="1"/>
  <c r="W72" i="23" s="1"/>
  <c r="T11" i="25"/>
  <c r="M38" i="23"/>
  <c r="M90" i="23" s="1"/>
  <c r="P22" i="24"/>
  <c r="P65" i="24" s="1"/>
  <c r="T16" i="24"/>
  <c r="T59" i="24" s="1"/>
  <c r="O41" i="24"/>
  <c r="O84" i="24" s="1"/>
  <c r="N9" i="24"/>
  <c r="N52" i="24" s="1"/>
  <c r="N19" i="24"/>
  <c r="N62" i="24" s="1"/>
  <c r="O11" i="24"/>
  <c r="O54" i="24" s="1"/>
  <c r="N33" i="24"/>
  <c r="N76" i="24" s="1"/>
  <c r="D7" i="26" s="1"/>
  <c r="D13" i="26" s="1"/>
  <c r="P42" i="24"/>
  <c r="P85" i="24" s="1"/>
  <c r="M41" i="23"/>
  <c r="M93" i="23" s="1"/>
  <c r="T40" i="24"/>
  <c r="T83" i="24" s="1"/>
  <c r="N27" i="24"/>
  <c r="N70" i="24" s="1"/>
  <c r="O33" i="24"/>
  <c r="O76" i="24" s="1"/>
  <c r="P12" i="24"/>
  <c r="P55" i="24" s="1"/>
  <c r="M16" i="23"/>
  <c r="M68" i="23" s="1"/>
  <c r="S36" i="24"/>
  <c r="S79" i="24" s="1"/>
  <c r="T14" i="24"/>
  <c r="T57" i="24" s="1"/>
  <c r="M26" i="23"/>
  <c r="M78" i="23" s="1"/>
  <c r="O12" i="24"/>
  <c r="O55" i="24" s="1"/>
  <c r="N17" i="24"/>
  <c r="N60" i="24" s="1"/>
  <c r="S27" i="24"/>
  <c r="S70" i="24" s="1"/>
  <c r="T18" i="24"/>
  <c r="T61" i="24" s="1"/>
  <c r="M45" i="8"/>
  <c r="M45" i="23" s="1"/>
  <c r="M97" i="23" s="1"/>
  <c r="P15" i="24"/>
  <c r="P58" i="24" s="1"/>
  <c r="N15" i="24"/>
  <c r="N58" i="24" s="1"/>
  <c r="AI53" i="9"/>
  <c r="W31" i="23"/>
  <c r="W83" i="23" s="1"/>
  <c r="AI44" i="8"/>
  <c r="AE44" i="23" s="1"/>
  <c r="AE96" i="23" s="1"/>
  <c r="AI11" i="8"/>
  <c r="AE11" i="23" s="1"/>
  <c r="AE63" i="23" s="1"/>
  <c r="W40" i="23"/>
  <c r="W92" i="23" s="1"/>
  <c r="X17" i="8"/>
  <c r="W17" i="23" s="1"/>
  <c r="W69" i="23" s="1"/>
  <c r="X27" i="8"/>
  <c r="W27" i="23" s="1"/>
  <c r="W79" i="23" s="1"/>
  <c r="AI27" i="8"/>
  <c r="AE27" i="23" s="1"/>
  <c r="AE79" i="23" s="1"/>
  <c r="AI36" i="8"/>
  <c r="AE36" i="23" s="1"/>
  <c r="AE88" i="23" s="1"/>
  <c r="X7" i="8"/>
  <c r="W7" i="23" s="1"/>
  <c r="W59" i="23" s="1"/>
  <c r="AI25" i="8"/>
  <c r="AE25" i="23" s="1"/>
  <c r="AE77" i="23" s="1"/>
  <c r="X26" i="8"/>
  <c r="W26" i="23" s="1"/>
  <c r="W78" i="23" s="1"/>
  <c r="AI19" i="8"/>
  <c r="AE19" i="23" s="1"/>
  <c r="AE71" i="23" s="1"/>
  <c r="X48" i="8"/>
  <c r="W48" i="23" s="1"/>
  <c r="W100" i="23" s="1"/>
  <c r="X49" i="8"/>
  <c r="W49" i="23" s="1"/>
  <c r="W101" i="23" s="1"/>
  <c r="AI13" i="8"/>
  <c r="AE13" i="23" s="1"/>
  <c r="AE65" i="23" s="1"/>
  <c r="P21" i="24"/>
  <c r="P64" i="24" s="1"/>
  <c r="P5" i="24"/>
  <c r="P48" i="24" s="1"/>
  <c r="O31" i="24"/>
  <c r="O74" i="24" s="1"/>
  <c r="N41" i="24"/>
  <c r="N84" i="24" s="1"/>
  <c r="P27" i="24"/>
  <c r="P70" i="24" s="1"/>
  <c r="M15" i="23"/>
  <c r="M67" i="23" s="1"/>
  <c r="W41" i="12"/>
  <c r="M42" i="23"/>
  <c r="M94" i="23" s="1"/>
  <c r="O25" i="24"/>
  <c r="O68" i="24" s="1"/>
  <c r="M27" i="8"/>
  <c r="M27" i="23" s="1"/>
  <c r="M79" i="23" s="1"/>
  <c r="S41" i="24"/>
  <c r="S84" i="24" s="1"/>
  <c r="AI23" i="8"/>
  <c r="AE23" i="23" s="1"/>
  <c r="AE75" i="23" s="1"/>
  <c r="AI8" i="8"/>
  <c r="AE8" i="23" s="1"/>
  <c r="AE60" i="23" s="1"/>
  <c r="AI28" i="8"/>
  <c r="AE28" i="23" s="1"/>
  <c r="AE80" i="23" s="1"/>
  <c r="AI49" i="8"/>
  <c r="AE49" i="23" s="1"/>
  <c r="AE101" i="23" s="1"/>
  <c r="AI6" i="8"/>
  <c r="AE6" i="23" s="1"/>
  <c r="AE58" i="23" s="1"/>
  <c r="H14" i="26"/>
  <c r="D9" i="26"/>
  <c r="J9" i="26"/>
  <c r="J11" i="26"/>
  <c r="F9" i="26"/>
  <c r="F11" i="26"/>
  <c r="F7" i="26"/>
  <c r="F13" i="26" s="1"/>
  <c r="D11" i="26"/>
  <c r="I9" i="26"/>
  <c r="I11" i="26"/>
  <c r="E11" i="26"/>
  <c r="E7" i="26"/>
  <c r="E13" i="26" s="1"/>
  <c r="AD46" i="8"/>
  <c r="AA46" i="23"/>
  <c r="AA98" i="23" s="1"/>
  <c r="W35" i="13"/>
  <c r="G9" i="25"/>
  <c r="AD44" i="8"/>
  <c r="AA44" i="23"/>
  <c r="AA96" i="23" s="1"/>
  <c r="W6" i="13"/>
  <c r="AD15" i="8"/>
  <c r="AA15" i="23"/>
  <c r="AA67" i="23" s="1"/>
  <c r="AD6" i="8"/>
  <c r="AA6" i="23"/>
  <c r="AA58" i="23" s="1"/>
  <c r="C14" i="26"/>
  <c r="V8" i="24"/>
  <c r="V51" i="24" s="1"/>
  <c r="AD25" i="8"/>
  <c r="AA25" i="23"/>
  <c r="AA77" i="23" s="1"/>
  <c r="V37" i="24"/>
  <c r="V80" i="24" s="1"/>
  <c r="S15" i="24"/>
  <c r="S58" i="24" s="1"/>
  <c r="AD28" i="8"/>
  <c r="AA28" i="23"/>
  <c r="AA80" i="23" s="1"/>
  <c r="S18" i="24"/>
  <c r="S61" i="24" s="1"/>
  <c r="T25" i="24"/>
  <c r="T68" i="24" s="1"/>
  <c r="V15" i="24"/>
  <c r="V58" i="24" s="1"/>
  <c r="AD34" i="8"/>
  <c r="AA34" i="23"/>
  <c r="AA86" i="23" s="1"/>
  <c r="AD24" i="8"/>
  <c r="AA24" i="23"/>
  <c r="AA76" i="23" s="1"/>
  <c r="W10" i="12"/>
  <c r="AD32" i="8"/>
  <c r="AA32" i="23"/>
  <c r="AA84" i="23" s="1"/>
  <c r="L7" i="25"/>
  <c r="L13" i="25" s="1"/>
  <c r="AD37" i="8"/>
  <c r="AA37" i="23"/>
  <c r="AA89" i="23" s="1"/>
  <c r="AD51" i="8"/>
  <c r="AA51" i="23"/>
  <c r="AA103" i="23" s="1"/>
  <c r="AD38" i="8"/>
  <c r="AA38" i="23"/>
  <c r="AA90" i="23" s="1"/>
  <c r="V24" i="24"/>
  <c r="V67" i="24" s="1"/>
  <c r="V33" i="24"/>
  <c r="V76" i="24" s="1"/>
  <c r="S17" i="24"/>
  <c r="S60" i="24" s="1"/>
  <c r="S19" i="24"/>
  <c r="S62" i="24" s="1"/>
  <c r="S20" i="24"/>
  <c r="S63" i="24" s="1"/>
  <c r="E9" i="26"/>
  <c r="W9" i="13"/>
  <c r="W8" i="13"/>
  <c r="AD22" i="8"/>
  <c r="AA22" i="23"/>
  <c r="AA74" i="23" s="1"/>
  <c r="S44" i="12"/>
  <c r="F9" i="25"/>
  <c r="AD13" i="8"/>
  <c r="AA13" i="23"/>
  <c r="AA65" i="23" s="1"/>
  <c r="V21" i="24"/>
  <c r="V64" i="24" s="1"/>
  <c r="V10" i="24"/>
  <c r="V53" i="24" s="1"/>
  <c r="AD16" i="8"/>
  <c r="AA16" i="23"/>
  <c r="AA68" i="23" s="1"/>
  <c r="G7" i="26"/>
  <c r="G13" i="26" s="1"/>
  <c r="G11" i="26"/>
  <c r="S35" i="24"/>
  <c r="S78" i="24" s="1"/>
  <c r="V11" i="24"/>
  <c r="V54" i="24" s="1"/>
  <c r="V9" i="24"/>
  <c r="V52" i="24" s="1"/>
  <c r="V7" i="24"/>
  <c r="V50" i="24" s="1"/>
  <c r="AD26" i="8"/>
  <c r="AA26" i="23"/>
  <c r="AA78" i="23" s="1"/>
  <c r="F7" i="25"/>
  <c r="F13" i="25" s="1"/>
  <c r="F11" i="25"/>
  <c r="S23" i="24"/>
  <c r="S66" i="24" s="1"/>
  <c r="W38" i="13"/>
  <c r="AD31" i="8"/>
  <c r="AA31" i="23"/>
  <c r="AA83" i="23" s="1"/>
  <c r="T9" i="25"/>
  <c r="AD10" i="8"/>
  <c r="AA10" i="23"/>
  <c r="AA62" i="23" s="1"/>
  <c r="AD40" i="8"/>
  <c r="AA40" i="23"/>
  <c r="AA92" i="23" s="1"/>
  <c r="V39" i="24"/>
  <c r="V82" i="24" s="1"/>
  <c r="V16" i="24"/>
  <c r="V59" i="24" s="1"/>
  <c r="V14" i="24"/>
  <c r="V57" i="24" s="1"/>
  <c r="S39" i="24"/>
  <c r="S82" i="24" s="1"/>
  <c r="V42" i="24"/>
  <c r="V85" i="24" s="1"/>
  <c r="V19" i="24"/>
  <c r="V62" i="24" s="1"/>
  <c r="V12" i="24"/>
  <c r="V55" i="24" s="1"/>
  <c r="S34" i="24"/>
  <c r="S77" i="24" s="1"/>
  <c r="AD50" i="8"/>
  <c r="AA50" i="23"/>
  <c r="AA102" i="23" s="1"/>
  <c r="AD42" i="8"/>
  <c r="AA42" i="23"/>
  <c r="AA94" i="23" s="1"/>
  <c r="AD18" i="8"/>
  <c r="AA18" i="23"/>
  <c r="AA70" i="23" s="1"/>
  <c r="O53" i="8"/>
  <c r="O6" i="23"/>
  <c r="O58" i="23" s="1"/>
  <c r="E11" i="25" s="1"/>
  <c r="AD17" i="8"/>
  <c r="AA17" i="23"/>
  <c r="AA69" i="23" s="1"/>
  <c r="W33" i="12"/>
  <c r="AD5" i="8"/>
  <c r="AA5" i="23"/>
  <c r="AA57" i="23" s="1"/>
  <c r="V18" i="24"/>
  <c r="V61" i="24" s="1"/>
  <c r="V22" i="24"/>
  <c r="V65" i="24" s="1"/>
  <c r="V20" i="24"/>
  <c r="V63" i="24" s="1"/>
  <c r="T11" i="24"/>
  <c r="T54" i="24" s="1"/>
  <c r="C11" i="26"/>
  <c r="V35" i="24"/>
  <c r="V78" i="24" s="1"/>
  <c r="S9" i="24"/>
  <c r="S52" i="24" s="1"/>
  <c r="I7" i="26" s="1"/>
  <c r="I13" i="26" s="1"/>
  <c r="T26" i="24"/>
  <c r="T69" i="24" s="1"/>
  <c r="V38" i="24"/>
  <c r="V81" i="24" s="1"/>
  <c r="V30" i="24"/>
  <c r="V73" i="24" s="1"/>
  <c r="V40" i="24"/>
  <c r="V83" i="24" s="1"/>
  <c r="T28" i="24"/>
  <c r="T71" i="24" s="1"/>
  <c r="AD49" i="8"/>
  <c r="AA49" i="23"/>
  <c r="AA101" i="23" s="1"/>
  <c r="W29" i="13"/>
  <c r="W32" i="12"/>
  <c r="W37" i="12"/>
  <c r="AD19" i="8"/>
  <c r="AA19" i="23"/>
  <c r="AA71" i="23" s="1"/>
  <c r="W31" i="12"/>
  <c r="L11" i="25"/>
  <c r="V23" i="24"/>
  <c r="V66" i="24" s="1"/>
  <c r="V29" i="24"/>
  <c r="V72" i="24" s="1"/>
  <c r="C7" i="26"/>
  <c r="C13" i="26" s="1"/>
  <c r="V6" i="24"/>
  <c r="V49" i="24" s="1"/>
  <c r="V26" i="24"/>
  <c r="V69" i="24" s="1"/>
  <c r="V36" i="24"/>
  <c r="V79" i="24" s="1"/>
  <c r="V13" i="24"/>
  <c r="V56" i="24" s="1"/>
  <c r="W37" i="13"/>
  <c r="J7" i="25"/>
  <c r="J13" i="25" s="1"/>
  <c r="J11" i="25"/>
  <c r="J9" i="25"/>
  <c r="B9" i="25"/>
  <c r="B7" i="25"/>
  <c r="B13" i="25" s="1"/>
  <c r="B11" i="25"/>
  <c r="G11" i="25"/>
  <c r="G7" i="25"/>
  <c r="G13" i="25" s="1"/>
  <c r="AD35" i="8"/>
  <c r="AA35" i="23"/>
  <c r="AA87" i="23" s="1"/>
  <c r="G9" i="26"/>
  <c r="V28" i="24"/>
  <c r="V71" i="24" s="1"/>
  <c r="V34" i="24"/>
  <c r="V77" i="24" s="1"/>
  <c r="AD21" i="8"/>
  <c r="AA21" i="23"/>
  <c r="AA73" i="23" s="1"/>
  <c r="V25" i="24"/>
  <c r="V68" i="24" s="1"/>
  <c r="V27" i="24"/>
  <c r="V70" i="24" s="1"/>
  <c r="T7" i="25"/>
  <c r="T13" i="25" s="1"/>
  <c r="AD48" i="8"/>
  <c r="AA48" i="23"/>
  <c r="AA100" i="23" s="1"/>
  <c r="V32" i="24"/>
  <c r="V75" i="24" s="1"/>
  <c r="T10" i="24"/>
  <c r="T53" i="24" s="1"/>
  <c r="J7" i="26" s="1"/>
  <c r="J13" i="26" s="1"/>
  <c r="AH53" i="8"/>
  <c r="W15" i="13"/>
  <c r="W12" i="12"/>
  <c r="W53" i="8"/>
  <c r="L49" i="10"/>
  <c r="L16" i="11" s="1"/>
  <c r="W24" i="12"/>
  <c r="W41" i="13"/>
  <c r="W36" i="13"/>
  <c r="W28" i="13"/>
  <c r="V44" i="13"/>
  <c r="W5" i="13"/>
  <c r="W16" i="13"/>
  <c r="Q53" i="8"/>
  <c r="W13" i="13"/>
  <c r="W23" i="13"/>
  <c r="P53" i="8"/>
  <c r="W10" i="13"/>
  <c r="W42" i="13"/>
  <c r="W16" i="12"/>
  <c r="W13" i="12"/>
  <c r="W31" i="13"/>
  <c r="W40" i="12"/>
  <c r="AB42" i="9"/>
  <c r="N56" i="9"/>
  <c r="N56" i="8"/>
  <c r="N56" i="7"/>
  <c r="V15" i="8"/>
  <c r="U15" i="23" s="1"/>
  <c r="U67" i="23" s="1"/>
  <c r="P44" i="13"/>
  <c r="U44" i="12"/>
  <c r="W42" i="12"/>
  <c r="W30" i="12"/>
  <c r="W14" i="12"/>
  <c r="O44" i="13"/>
  <c r="V23" i="8"/>
  <c r="U23" i="23" s="1"/>
  <c r="U75" i="23" s="1"/>
  <c r="Y42" i="9"/>
  <c r="AB42" i="7"/>
  <c r="Y21" i="9"/>
  <c r="AB21" i="7"/>
  <c r="Y39" i="9"/>
  <c r="AB39" i="9" s="1"/>
  <c r="AB39" i="7"/>
  <c r="Y46" i="9"/>
  <c r="AB46" i="9" s="1"/>
  <c r="AB46" i="7"/>
  <c r="Y13" i="9"/>
  <c r="AB13" i="9" s="1"/>
  <c r="AB13" i="7"/>
  <c r="Y10" i="9"/>
  <c r="AB10" i="9" s="1"/>
  <c r="AB10" i="7"/>
  <c r="M53" i="9"/>
  <c r="M33" i="8"/>
  <c r="M33" i="23" s="1"/>
  <c r="M85" i="23" s="1"/>
  <c r="E35" i="5"/>
  <c r="L46" i="13"/>
  <c r="L46" i="12"/>
  <c r="L46" i="11"/>
  <c r="L46" i="10"/>
  <c r="V29" i="8"/>
  <c r="U29" i="23" s="1"/>
  <c r="U81" i="23" s="1"/>
  <c r="L9" i="11"/>
  <c r="L7" i="11"/>
  <c r="L5" i="11"/>
  <c r="L6" i="11"/>
  <c r="L26" i="11"/>
  <c r="L14" i="11"/>
  <c r="L12" i="11"/>
  <c r="L15" i="11"/>
  <c r="L25" i="11"/>
  <c r="L24" i="11"/>
  <c r="L33" i="11"/>
  <c r="L36" i="11"/>
  <c r="L29" i="11"/>
  <c r="L13" i="11"/>
  <c r="L39" i="11"/>
  <c r="L37" i="11"/>
  <c r="L40" i="11"/>
  <c r="L20" i="11"/>
  <c r="L22" i="11"/>
  <c r="L35" i="11"/>
  <c r="L28" i="11"/>
  <c r="L38" i="11"/>
  <c r="L17" i="11"/>
  <c r="V39" i="8"/>
  <c r="U39" i="23" s="1"/>
  <c r="U91" i="23" s="1"/>
  <c r="V46" i="8"/>
  <c r="U46" i="23" s="1"/>
  <c r="U98" i="23" s="1"/>
  <c r="N44" i="13"/>
  <c r="V42" i="8"/>
  <c r="U42" i="23" s="1"/>
  <c r="U94" i="23" s="1"/>
  <c r="U53" i="8"/>
  <c r="V27" i="8"/>
  <c r="U27" i="23" s="1"/>
  <c r="U79" i="23" s="1"/>
  <c r="Y32" i="9"/>
  <c r="AB32" i="9" s="1"/>
  <c r="AB32" i="7"/>
  <c r="Y29" i="9"/>
  <c r="AB29" i="9" s="1"/>
  <c r="AB29" i="7"/>
  <c r="Y27" i="9"/>
  <c r="AB27" i="9" s="1"/>
  <c r="AB27" i="7"/>
  <c r="Y28" i="9"/>
  <c r="AB28" i="9" s="1"/>
  <c r="AB28" i="7"/>
  <c r="Y9" i="9"/>
  <c r="AB9" i="9" s="1"/>
  <c r="AB9" i="7"/>
  <c r="Y14" i="9"/>
  <c r="AB14" i="9" s="1"/>
  <c r="AB14" i="7"/>
  <c r="V40" i="8"/>
  <c r="U40" i="23" s="1"/>
  <c r="U92" i="23" s="1"/>
  <c r="V16" i="8"/>
  <c r="U16" i="23" s="1"/>
  <c r="U68" i="23" s="1"/>
  <c r="M5" i="8"/>
  <c r="M5" i="23" s="1"/>
  <c r="M57" i="23" s="1"/>
  <c r="C11" i="25" s="1"/>
  <c r="V36" i="8"/>
  <c r="U36" i="23" s="1"/>
  <c r="U88" i="23" s="1"/>
  <c r="W44" i="11"/>
  <c r="W5" i="12"/>
  <c r="N44" i="12"/>
  <c r="O44" i="12"/>
  <c r="V34" i="8"/>
  <c r="U34" i="23" s="1"/>
  <c r="U86" i="23" s="1"/>
  <c r="Y30" i="9"/>
  <c r="AB30" i="9" s="1"/>
  <c r="AB30" i="7"/>
  <c r="Y43" i="9"/>
  <c r="AB43" i="9" s="1"/>
  <c r="AB43" i="7"/>
  <c r="Y24" i="9"/>
  <c r="AB24" i="9" s="1"/>
  <c r="AB24" i="7"/>
  <c r="Y50" i="9"/>
  <c r="AB50" i="9" s="1"/>
  <c r="AB50" i="7"/>
  <c r="Y8" i="9"/>
  <c r="AB8" i="9" s="1"/>
  <c r="AB8" i="7"/>
  <c r="Y18" i="9"/>
  <c r="AB18" i="9" s="1"/>
  <c r="AB18" i="7"/>
  <c r="M43" i="8"/>
  <c r="M43" i="23" s="1"/>
  <c r="M95" i="23" s="1"/>
  <c r="V26" i="8"/>
  <c r="U26" i="23" s="1"/>
  <c r="U78" i="23" s="1"/>
  <c r="V44" i="12"/>
  <c r="V43" i="8"/>
  <c r="U43" i="23" s="1"/>
  <c r="U95" i="23" s="1"/>
  <c r="V48" i="8"/>
  <c r="U48" i="23" s="1"/>
  <c r="U100" i="23" s="1"/>
  <c r="V50" i="8"/>
  <c r="U50" i="23" s="1"/>
  <c r="U102" i="23" s="1"/>
  <c r="V14" i="8"/>
  <c r="U14" i="23" s="1"/>
  <c r="U66" i="23" s="1"/>
  <c r="V49" i="8"/>
  <c r="U49" i="23" s="1"/>
  <c r="U101" i="23" s="1"/>
  <c r="V8" i="8"/>
  <c r="U8" i="23" s="1"/>
  <c r="U60" i="23" s="1"/>
  <c r="V38" i="8"/>
  <c r="U38" i="23" s="1"/>
  <c r="U90" i="23" s="1"/>
  <c r="Y37" i="9"/>
  <c r="AB37" i="9" s="1"/>
  <c r="AB37" i="7"/>
  <c r="Y26" i="9"/>
  <c r="AB26" i="9" s="1"/>
  <c r="AB26" i="7"/>
  <c r="Y31" i="9"/>
  <c r="AB31" i="9" s="1"/>
  <c r="AB31" i="7"/>
  <c r="Y7" i="9"/>
  <c r="AB7" i="9" s="1"/>
  <c r="AB7" i="7"/>
  <c r="Y12" i="9"/>
  <c r="AB12" i="9" s="1"/>
  <c r="AB12" i="7"/>
  <c r="Y19" i="9"/>
  <c r="AB19" i="9" s="1"/>
  <c r="AB19" i="7"/>
  <c r="V19" i="8"/>
  <c r="U19" i="23" s="1"/>
  <c r="U71" i="23" s="1"/>
  <c r="R34" i="8"/>
  <c r="R34" i="23" s="1"/>
  <c r="R86" i="23" s="1"/>
  <c r="R46" i="8"/>
  <c r="R46" i="23" s="1"/>
  <c r="R98" i="23" s="1"/>
  <c r="R18" i="8"/>
  <c r="R18" i="23" s="1"/>
  <c r="R70" i="23" s="1"/>
  <c r="R20" i="8"/>
  <c r="R20" i="23" s="1"/>
  <c r="R72" i="23" s="1"/>
  <c r="R38" i="8"/>
  <c r="R38" i="23" s="1"/>
  <c r="R90" i="23" s="1"/>
  <c r="R12" i="8"/>
  <c r="R12" i="23" s="1"/>
  <c r="R64" i="23" s="1"/>
  <c r="R23" i="8"/>
  <c r="R37" i="8"/>
  <c r="R37" i="23" s="1"/>
  <c r="R89" i="23" s="1"/>
  <c r="R21" i="8"/>
  <c r="R42" i="8"/>
  <c r="R42" i="23" s="1"/>
  <c r="R94" i="23" s="1"/>
  <c r="R43" i="8"/>
  <c r="R43" i="23" s="1"/>
  <c r="R95" i="23" s="1"/>
  <c r="R24" i="8"/>
  <c r="R39" i="8"/>
  <c r="R39" i="23" s="1"/>
  <c r="R91" i="23" s="1"/>
  <c r="R6" i="8"/>
  <c r="R6" i="23" s="1"/>
  <c r="R58" i="23" s="1"/>
  <c r="R28" i="8"/>
  <c r="R35" i="8"/>
  <c r="R35" i="23" s="1"/>
  <c r="R87" i="23" s="1"/>
  <c r="R13" i="8"/>
  <c r="R13" i="23" s="1"/>
  <c r="R65" i="23" s="1"/>
  <c r="R5" i="8"/>
  <c r="R5" i="23" s="1"/>
  <c r="R57" i="23" s="1"/>
  <c r="R45" i="8"/>
  <c r="R45" i="23" s="1"/>
  <c r="R97" i="23" s="1"/>
  <c r="R10" i="8"/>
  <c r="R10" i="23" s="1"/>
  <c r="R62" i="23" s="1"/>
  <c r="R9" i="8"/>
  <c r="R9" i="23" s="1"/>
  <c r="R61" i="23" s="1"/>
  <c r="R47" i="8"/>
  <c r="R47" i="23" s="1"/>
  <c r="R99" i="23" s="1"/>
  <c r="R16" i="8"/>
  <c r="R16" i="23" s="1"/>
  <c r="R68" i="23" s="1"/>
  <c r="R48" i="8"/>
  <c r="R48" i="23" s="1"/>
  <c r="R100" i="23" s="1"/>
  <c r="R40" i="8"/>
  <c r="R40" i="23" s="1"/>
  <c r="R92" i="23" s="1"/>
  <c r="R7" i="8"/>
  <c r="R7" i="23" s="1"/>
  <c r="R59" i="23" s="1"/>
  <c r="R33" i="8"/>
  <c r="R33" i="23" s="1"/>
  <c r="R85" i="23" s="1"/>
  <c r="R8" i="8"/>
  <c r="R8" i="23" s="1"/>
  <c r="R60" i="23" s="1"/>
  <c r="R29" i="8"/>
  <c r="R11" i="8"/>
  <c r="R11" i="23" s="1"/>
  <c r="R63" i="23" s="1"/>
  <c r="R26" i="8"/>
  <c r="R31" i="8"/>
  <c r="R31" i="23" s="1"/>
  <c r="R83" i="23" s="1"/>
  <c r="R17" i="8"/>
  <c r="R17" i="23" s="1"/>
  <c r="R69" i="23" s="1"/>
  <c r="R36" i="8"/>
  <c r="R36" i="23" s="1"/>
  <c r="R88" i="23" s="1"/>
  <c r="R27" i="8"/>
  <c r="R44" i="8"/>
  <c r="R44" i="23" s="1"/>
  <c r="R96" i="23" s="1"/>
  <c r="R14" i="8"/>
  <c r="R14" i="23" s="1"/>
  <c r="R66" i="23" s="1"/>
  <c r="R22" i="8"/>
  <c r="R50" i="8"/>
  <c r="R50" i="23" s="1"/>
  <c r="R102" i="23" s="1"/>
  <c r="R15" i="8"/>
  <c r="R15" i="23" s="1"/>
  <c r="R67" i="23" s="1"/>
  <c r="R51" i="8"/>
  <c r="R51" i="23" s="1"/>
  <c r="R103" i="23" s="1"/>
  <c r="R32" i="8"/>
  <c r="R32" i="23" s="1"/>
  <c r="R84" i="23" s="1"/>
  <c r="R19" i="8"/>
  <c r="R19" i="23" s="1"/>
  <c r="R71" i="23" s="1"/>
  <c r="R25" i="8"/>
  <c r="R25" i="23" s="1"/>
  <c r="R77" i="23" s="1"/>
  <c r="R30" i="8"/>
  <c r="R30" i="23" s="1"/>
  <c r="R82" i="23" s="1"/>
  <c r="R41" i="8"/>
  <c r="R41" i="23" s="1"/>
  <c r="R93" i="23" s="1"/>
  <c r="R49" i="8"/>
  <c r="R49" i="23" s="1"/>
  <c r="R101" i="23" s="1"/>
  <c r="W38" i="12"/>
  <c r="P44" i="12"/>
  <c r="V33" i="8"/>
  <c r="U33" i="23" s="1"/>
  <c r="U85" i="23" s="1"/>
  <c r="V32" i="8"/>
  <c r="U32" i="23" s="1"/>
  <c r="U84" i="23" s="1"/>
  <c r="V53" i="9"/>
  <c r="AA5" i="13"/>
  <c r="AA44" i="13" s="1"/>
  <c r="Z44" i="13"/>
  <c r="V9" i="8"/>
  <c r="U9" i="23" s="1"/>
  <c r="U61" i="23" s="1"/>
  <c r="Y51" i="9"/>
  <c r="AB51" i="9" s="1"/>
  <c r="AB51" i="7"/>
  <c r="Y41" i="9"/>
  <c r="AB41" i="9" s="1"/>
  <c r="AB41" i="7"/>
  <c r="Y44" i="9"/>
  <c r="AB44" i="9" s="1"/>
  <c r="AB44" i="7"/>
  <c r="Y11" i="9"/>
  <c r="AB11" i="9" s="1"/>
  <c r="AB11" i="7"/>
  <c r="Y16" i="9"/>
  <c r="AB16" i="9" s="1"/>
  <c r="AB16" i="7"/>
  <c r="S30" i="8"/>
  <c r="S41" i="8"/>
  <c r="S20" i="8"/>
  <c r="S23" i="8"/>
  <c r="S37" i="8"/>
  <c r="S21" i="8"/>
  <c r="S47" i="8"/>
  <c r="S43" i="8"/>
  <c r="S24" i="8"/>
  <c r="S39" i="8"/>
  <c r="S6" i="8"/>
  <c r="S28" i="8"/>
  <c r="S35" i="8"/>
  <c r="S13" i="8"/>
  <c r="S34" i="8"/>
  <c r="S46" i="8"/>
  <c r="S18" i="8"/>
  <c r="S38" i="8"/>
  <c r="S45" i="8"/>
  <c r="S10" i="8"/>
  <c r="S9" i="8"/>
  <c r="S12" i="8"/>
  <c r="S16" i="8"/>
  <c r="S40" i="8"/>
  <c r="S42" i="8"/>
  <c r="S5" i="8"/>
  <c r="S29" i="8"/>
  <c r="S31" i="8"/>
  <c r="S17" i="8"/>
  <c r="S36" i="8"/>
  <c r="S27" i="8"/>
  <c r="S44" i="8"/>
  <c r="S14" i="8"/>
  <c r="S22" i="8"/>
  <c r="S50" i="8"/>
  <c r="S51" i="8"/>
  <c r="S32" i="8"/>
  <c r="S19" i="8"/>
  <c r="S7" i="8"/>
  <c r="S33" i="8"/>
  <c r="S25" i="8"/>
  <c r="S11" i="8"/>
  <c r="S26" i="8"/>
  <c r="S49" i="8"/>
  <c r="S48" i="8"/>
  <c r="S8" i="8"/>
  <c r="S15" i="8"/>
  <c r="M30" i="8"/>
  <c r="M30" i="23" s="1"/>
  <c r="M82" i="23" s="1"/>
  <c r="M25" i="8"/>
  <c r="M25" i="23" s="1"/>
  <c r="M77" i="23" s="1"/>
  <c r="M13" i="8"/>
  <c r="M13" i="23" s="1"/>
  <c r="M65" i="23" s="1"/>
  <c r="F35" i="5"/>
  <c r="L47" i="12"/>
  <c r="L47" i="13"/>
  <c r="L47" i="11"/>
  <c r="L47" i="10"/>
  <c r="V11" i="8"/>
  <c r="U11" i="23" s="1"/>
  <c r="U63" i="23" s="1"/>
  <c r="V47" i="8"/>
  <c r="U47" i="23" s="1"/>
  <c r="U99" i="23" s="1"/>
  <c r="V22" i="8"/>
  <c r="U22" i="23" s="1"/>
  <c r="U74" i="23" s="1"/>
  <c r="V21" i="8"/>
  <c r="U21" i="23" s="1"/>
  <c r="U73" i="23" s="1"/>
  <c r="V10" i="8"/>
  <c r="U10" i="23" s="1"/>
  <c r="U62" i="23" s="1"/>
  <c r="AA5" i="12"/>
  <c r="AA44" i="12" s="1"/>
  <c r="Z44" i="12"/>
  <c r="V17" i="8"/>
  <c r="U17" i="23" s="1"/>
  <c r="U69" i="23" s="1"/>
  <c r="V6" i="8"/>
  <c r="U6" i="23" s="1"/>
  <c r="U58" i="23" s="1"/>
  <c r="V45" i="8"/>
  <c r="U45" i="23" s="1"/>
  <c r="U97" i="23" s="1"/>
  <c r="V24" i="8"/>
  <c r="U24" i="23" s="1"/>
  <c r="U76" i="23" s="1"/>
  <c r="V41" i="8"/>
  <c r="U41" i="23" s="1"/>
  <c r="U93" i="23" s="1"/>
  <c r="Y40" i="9"/>
  <c r="AB40" i="9" s="1"/>
  <c r="AB40" i="7"/>
  <c r="Y34" i="9"/>
  <c r="AB34" i="9" s="1"/>
  <c r="AB34" i="7"/>
  <c r="Y47" i="9"/>
  <c r="AB47" i="9" s="1"/>
  <c r="AB47" i="7"/>
  <c r="Y22" i="9"/>
  <c r="AB22" i="9" s="1"/>
  <c r="AB22" i="7"/>
  <c r="Y15" i="9"/>
  <c r="AB15" i="9" s="1"/>
  <c r="AB15" i="7"/>
  <c r="Y20" i="9"/>
  <c r="AB20" i="9" s="1"/>
  <c r="AB20" i="7"/>
  <c r="V30" i="8"/>
  <c r="U30" i="23" s="1"/>
  <c r="U82" i="23" s="1"/>
  <c r="T54" i="8"/>
  <c r="T54" i="9"/>
  <c r="T54" i="7"/>
  <c r="AC53" i="8"/>
  <c r="AA44" i="11"/>
  <c r="AB45" i="13"/>
  <c r="AB45" i="12"/>
  <c r="X49" i="12" s="1"/>
  <c r="AB45" i="11"/>
  <c r="AB45" i="10"/>
  <c r="L53" i="8"/>
  <c r="V20" i="8"/>
  <c r="U20" i="23" s="1"/>
  <c r="U72" i="23" s="1"/>
  <c r="AB21" i="9"/>
  <c r="Y38" i="9"/>
  <c r="AB38" i="9" s="1"/>
  <c r="AB38" i="7"/>
  <c r="Y49" i="9"/>
  <c r="AB49" i="9" s="1"/>
  <c r="AB49" i="7"/>
  <c r="Y35" i="9"/>
  <c r="AB35" i="9" s="1"/>
  <c r="AB35" i="7"/>
  <c r="Y36" i="9"/>
  <c r="AB36" i="9" s="1"/>
  <c r="AB36" i="7"/>
  <c r="Y5" i="9"/>
  <c r="Y53" i="7"/>
  <c r="Y58" i="7" s="1"/>
  <c r="Y32" i="8" s="1"/>
  <c r="X32" i="23" s="1"/>
  <c r="X84" i="23" s="1"/>
  <c r="AB5" i="7"/>
  <c r="Y17" i="9"/>
  <c r="AB17" i="9" s="1"/>
  <c r="AB17" i="7"/>
  <c r="V51" i="8"/>
  <c r="U51" i="23" s="1"/>
  <c r="U103" i="23" s="1"/>
  <c r="N55" i="9"/>
  <c r="N55" i="8"/>
  <c r="N55" i="7"/>
  <c r="V5" i="8"/>
  <c r="U5" i="23" s="1"/>
  <c r="U57" i="23" s="1"/>
  <c r="V28" i="8"/>
  <c r="U28" i="23" s="1"/>
  <c r="U80" i="23" s="1"/>
  <c r="V25" i="8"/>
  <c r="U25" i="23" s="1"/>
  <c r="U77" i="23" s="1"/>
  <c r="V18" i="8"/>
  <c r="U18" i="23" s="1"/>
  <c r="U70" i="23" s="1"/>
  <c r="U44" i="13"/>
  <c r="V35" i="8"/>
  <c r="U35" i="23" s="1"/>
  <c r="U87" i="23" s="1"/>
  <c r="V31" i="8"/>
  <c r="U31" i="23" s="1"/>
  <c r="U83" i="23" s="1"/>
  <c r="V13" i="8"/>
  <c r="U13" i="23" s="1"/>
  <c r="U65" i="23" s="1"/>
  <c r="V12" i="8"/>
  <c r="U12" i="23" s="1"/>
  <c r="U64" i="23" s="1"/>
  <c r="V44" i="8"/>
  <c r="U44" i="23" s="1"/>
  <c r="U96" i="23" s="1"/>
  <c r="Y45" i="9"/>
  <c r="AB45" i="9" s="1"/>
  <c r="AB45" i="7"/>
  <c r="Y23" i="9"/>
  <c r="AB23" i="9" s="1"/>
  <c r="AB23" i="7"/>
  <c r="Y33" i="9"/>
  <c r="AB33" i="9" s="1"/>
  <c r="AB33" i="7"/>
  <c r="Y48" i="9"/>
  <c r="AB48" i="9" s="1"/>
  <c r="AB48" i="7"/>
  <c r="Y6" i="9"/>
  <c r="AB6" i="9" s="1"/>
  <c r="AB6" i="7"/>
  <c r="Y25" i="9"/>
  <c r="AB25" i="9" s="1"/>
  <c r="AB25" i="7"/>
  <c r="V37" i="8"/>
  <c r="U37" i="23" s="1"/>
  <c r="U89" i="23" s="1"/>
  <c r="W22" i="12"/>
  <c r="E10" i="5"/>
  <c r="N57" i="6"/>
  <c r="F10" i="5"/>
  <c r="N58" i="6"/>
  <c r="F29" i="5"/>
  <c r="D47" i="5"/>
  <c r="D29" i="5"/>
  <c r="L15" i="25" l="1"/>
  <c r="L7" i="26"/>
  <c r="L13" i="26" s="1"/>
  <c r="Q9" i="25"/>
  <c r="Q15" i="25" s="1"/>
  <c r="AE5" i="23"/>
  <c r="AE57" i="23" s="1"/>
  <c r="AI53" i="8"/>
  <c r="X53" i="8"/>
  <c r="AD53" i="8"/>
  <c r="M11" i="25"/>
  <c r="M9" i="25"/>
  <c r="M7" i="25"/>
  <c r="M13" i="25" s="1"/>
  <c r="L34" i="11"/>
  <c r="L41" i="11"/>
  <c r="L31" i="11"/>
  <c r="L8" i="11"/>
  <c r="C9" i="25"/>
  <c r="C14" i="25" s="1"/>
  <c r="L30" i="11"/>
  <c r="L32" i="11"/>
  <c r="L21" i="11"/>
  <c r="L10" i="11"/>
  <c r="W44" i="13"/>
  <c r="E42" i="5"/>
  <c r="E21" i="5"/>
  <c r="L18" i="11"/>
  <c r="L11" i="11"/>
  <c r="L9" i="26"/>
  <c r="E15" i="26"/>
  <c r="E14" i="26"/>
  <c r="G15" i="25"/>
  <c r="G14" i="25"/>
  <c r="I15" i="26"/>
  <c r="I14" i="26"/>
  <c r="F15" i="26"/>
  <c r="F14" i="26"/>
  <c r="G15" i="26"/>
  <c r="G14" i="26"/>
  <c r="F15" i="25"/>
  <c r="F14" i="25"/>
  <c r="E9" i="25"/>
  <c r="C7" i="25"/>
  <c r="C13" i="25" s="1"/>
  <c r="K9" i="25"/>
  <c r="J15" i="25"/>
  <c r="J14" i="25"/>
  <c r="H9" i="25"/>
  <c r="H11" i="25"/>
  <c r="H7" i="25"/>
  <c r="H13" i="25" s="1"/>
  <c r="L42" i="11"/>
  <c r="Q42" i="11" s="1"/>
  <c r="AB42" i="11" s="1"/>
  <c r="L27" i="11"/>
  <c r="L19" i="11"/>
  <c r="L23" i="11"/>
  <c r="E7" i="25"/>
  <c r="E13" i="25" s="1"/>
  <c r="K11" i="25"/>
  <c r="T15" i="25"/>
  <c r="T14" i="25"/>
  <c r="L11" i="26"/>
  <c r="J15" i="26"/>
  <c r="J14" i="26"/>
  <c r="K7" i="25"/>
  <c r="K13" i="25" s="1"/>
  <c r="B15" i="25"/>
  <c r="B14" i="25"/>
  <c r="Q7" i="25"/>
  <c r="Q13" i="25" s="1"/>
  <c r="Q11" i="25"/>
  <c r="D15" i="26"/>
  <c r="D14" i="26"/>
  <c r="AB53" i="7"/>
  <c r="AB32" i="8"/>
  <c r="AB35" i="8"/>
  <c r="Y35" i="8"/>
  <c r="X35" i="23" s="1"/>
  <c r="X87" i="23" s="1"/>
  <c r="Y25" i="8"/>
  <c r="Y53" i="9"/>
  <c r="Y40" i="8"/>
  <c r="Y11" i="8"/>
  <c r="Y26" i="8"/>
  <c r="Y18" i="8"/>
  <c r="Y14" i="8"/>
  <c r="L35" i="12"/>
  <c r="Q35" i="12" s="1"/>
  <c r="Q35" i="11"/>
  <c r="AB35" i="11" s="1"/>
  <c r="L35" i="13"/>
  <c r="Q35" i="13" s="1"/>
  <c r="Q39" i="11"/>
  <c r="AB39" i="11" s="1"/>
  <c r="L39" i="12"/>
  <c r="Q39" i="12" s="1"/>
  <c r="L39" i="13"/>
  <c r="Q39" i="13" s="1"/>
  <c r="L21" i="12"/>
  <c r="Q21" i="12" s="1"/>
  <c r="Q21" i="11"/>
  <c r="AB21" i="11" s="1"/>
  <c r="L21" i="13"/>
  <c r="Q21" i="13" s="1"/>
  <c r="Q6" i="11"/>
  <c r="AB6" i="11" s="1"/>
  <c r="L6" i="12"/>
  <c r="Q6" i="12" s="1"/>
  <c r="L6" i="13"/>
  <c r="Q6" i="13" s="1"/>
  <c r="Q46" i="13"/>
  <c r="Q46" i="12"/>
  <c r="Q46" i="11"/>
  <c r="Q46" i="10"/>
  <c r="Y13" i="8"/>
  <c r="X13" i="23" s="1"/>
  <c r="X65" i="23" s="1"/>
  <c r="Y5" i="8"/>
  <c r="S53" i="8"/>
  <c r="Y51" i="8"/>
  <c r="Y24" i="8"/>
  <c r="Y27" i="8"/>
  <c r="L22" i="12"/>
  <c r="Q22" i="12" s="1"/>
  <c r="Q22" i="11"/>
  <c r="AB22" i="11" s="1"/>
  <c r="L22" i="13"/>
  <c r="Q22" i="13" s="1"/>
  <c r="Q13" i="11"/>
  <c r="AB13" i="11" s="1"/>
  <c r="L13" i="12"/>
  <c r="Q13" i="12" s="1"/>
  <c r="L13" i="13"/>
  <c r="Q13" i="13" s="1"/>
  <c r="L25" i="12"/>
  <c r="Q25" i="12" s="1"/>
  <c r="Q25" i="11"/>
  <c r="AB25" i="11" s="1"/>
  <c r="L25" i="13"/>
  <c r="Q25" i="13" s="1"/>
  <c r="Q8" i="11"/>
  <c r="AB8" i="11" s="1"/>
  <c r="L8" i="12"/>
  <c r="Q8" i="12" s="1"/>
  <c r="L8" i="13"/>
  <c r="Q8" i="13" s="1"/>
  <c r="Y21" i="8"/>
  <c r="T57" i="6"/>
  <c r="T55" i="9"/>
  <c r="T55" i="8"/>
  <c r="T55" i="7"/>
  <c r="Y20" i="8"/>
  <c r="Y7" i="8"/>
  <c r="M53" i="8"/>
  <c r="L17" i="12"/>
  <c r="Q17" i="12" s="1"/>
  <c r="Q17" i="11"/>
  <c r="AB17" i="11" s="1"/>
  <c r="L17" i="13"/>
  <c r="Q17" i="13" s="1"/>
  <c r="L20" i="12"/>
  <c r="Q20" i="12" s="1"/>
  <c r="Q20" i="11"/>
  <c r="AB20" i="11" s="1"/>
  <c r="L20" i="13"/>
  <c r="Q20" i="13" s="1"/>
  <c r="L29" i="12"/>
  <c r="Q29" i="12" s="1"/>
  <c r="Q29" i="11"/>
  <c r="AB29" i="11" s="1"/>
  <c r="L29" i="13"/>
  <c r="Q29" i="13" s="1"/>
  <c r="L15" i="12"/>
  <c r="Q15" i="12" s="1"/>
  <c r="Q15" i="11"/>
  <c r="AB15" i="11" s="1"/>
  <c r="L15" i="13"/>
  <c r="Q15" i="13" s="1"/>
  <c r="Q10" i="11"/>
  <c r="AB10" i="11" s="1"/>
  <c r="L10" i="12"/>
  <c r="Q10" i="12" s="1"/>
  <c r="L10" i="13"/>
  <c r="Q10" i="13" s="1"/>
  <c r="T58" i="6"/>
  <c r="T56" i="9"/>
  <c r="T56" i="8"/>
  <c r="T56" i="7"/>
  <c r="Y45" i="8"/>
  <c r="Y33" i="8"/>
  <c r="Y49" i="8"/>
  <c r="Y6" i="8"/>
  <c r="AB13" i="8"/>
  <c r="Y44" i="8"/>
  <c r="Y37" i="8"/>
  <c r="Y8" i="8"/>
  <c r="Y9" i="8"/>
  <c r="L42" i="12"/>
  <c r="Q42" i="12" s="1"/>
  <c r="L27" i="12"/>
  <c r="Q27" i="12" s="1"/>
  <c r="Q27" i="11"/>
  <c r="AB27" i="11" s="1"/>
  <c r="L27" i="13"/>
  <c r="Q27" i="13" s="1"/>
  <c r="L19" i="12"/>
  <c r="Q19" i="12" s="1"/>
  <c r="Q19" i="11"/>
  <c r="AB19" i="11" s="1"/>
  <c r="L19" i="13"/>
  <c r="Q19" i="13" s="1"/>
  <c r="L23" i="12"/>
  <c r="Q23" i="12" s="1"/>
  <c r="Q23" i="11"/>
  <c r="AB23" i="11" s="1"/>
  <c r="L23" i="13"/>
  <c r="Q23" i="13" s="1"/>
  <c r="L16" i="12"/>
  <c r="Q16" i="12" s="1"/>
  <c r="Q16" i="11"/>
  <c r="AB16" i="11" s="1"/>
  <c r="L16" i="13"/>
  <c r="Q16" i="13" s="1"/>
  <c r="Y46" i="8"/>
  <c r="AM56" i="6"/>
  <c r="AM54" i="9"/>
  <c r="AM54" i="7"/>
  <c r="AM54" i="8" s="1"/>
  <c r="Y47" i="8"/>
  <c r="F47" i="5"/>
  <c r="Y23" i="8"/>
  <c r="V53" i="8"/>
  <c r="Y36" i="8"/>
  <c r="Y15" i="8"/>
  <c r="Y19" i="8"/>
  <c r="Y43" i="8"/>
  <c r="Y29" i="8"/>
  <c r="L38" i="12"/>
  <c r="Q38" i="12" s="1"/>
  <c r="Q38" i="11"/>
  <c r="AB38" i="11" s="1"/>
  <c r="L38" i="13"/>
  <c r="Q38" i="13" s="1"/>
  <c r="L40" i="12"/>
  <c r="Q40" i="12" s="1"/>
  <c r="Q40" i="11"/>
  <c r="AB40" i="11" s="1"/>
  <c r="L40" i="13"/>
  <c r="Q40" i="13" s="1"/>
  <c r="Q36" i="11"/>
  <c r="AB36" i="11" s="1"/>
  <c r="L36" i="12"/>
  <c r="Q36" i="12" s="1"/>
  <c r="L36" i="13"/>
  <c r="Q36" i="13" s="1"/>
  <c r="Q12" i="11"/>
  <c r="AB12" i="11" s="1"/>
  <c r="L12" i="12"/>
  <c r="Q12" i="12" s="1"/>
  <c r="L12" i="13"/>
  <c r="Q12" i="13" s="1"/>
  <c r="Q5" i="11"/>
  <c r="L5" i="12"/>
  <c r="L44" i="11"/>
  <c r="L5" i="13"/>
  <c r="Y42" i="8"/>
  <c r="AM58" i="6"/>
  <c r="AM56" i="9"/>
  <c r="AM56" i="8"/>
  <c r="AM56" i="7"/>
  <c r="Y17" i="8"/>
  <c r="Y38" i="8"/>
  <c r="Y34" i="8"/>
  <c r="Y16" i="8"/>
  <c r="Y31" i="8"/>
  <c r="L34" i="12"/>
  <c r="Q34" i="12" s="1"/>
  <c r="Q34" i="11"/>
  <c r="AB34" i="11" s="1"/>
  <c r="L34" i="13"/>
  <c r="Q34" i="13" s="1"/>
  <c r="L37" i="12"/>
  <c r="Q37" i="12" s="1"/>
  <c r="Q37" i="11"/>
  <c r="AB37" i="11" s="1"/>
  <c r="L37" i="13"/>
  <c r="Q37" i="13" s="1"/>
  <c r="L33" i="12"/>
  <c r="Q33" i="12" s="1"/>
  <c r="Q33" i="11"/>
  <c r="AB33" i="11" s="1"/>
  <c r="L33" i="13"/>
  <c r="Q33" i="13" s="1"/>
  <c r="Q14" i="11"/>
  <c r="AB14" i="11" s="1"/>
  <c r="L14" i="12"/>
  <c r="Q14" i="12" s="1"/>
  <c r="L14" i="13"/>
  <c r="Q14" i="13" s="1"/>
  <c r="Q7" i="11"/>
  <c r="AB7" i="11" s="1"/>
  <c r="L7" i="12"/>
  <c r="Q7" i="12" s="1"/>
  <c r="L7" i="13"/>
  <c r="Q7" i="13" s="1"/>
  <c r="Y10" i="8"/>
  <c r="AB5" i="9"/>
  <c r="AB53" i="9" s="1"/>
  <c r="Y48" i="8"/>
  <c r="Y41" i="8"/>
  <c r="Y50" i="8"/>
  <c r="W44" i="12"/>
  <c r="Y28" i="8"/>
  <c r="L30" i="12"/>
  <c r="Q30" i="12" s="1"/>
  <c r="Q30" i="11"/>
  <c r="AB30" i="11" s="1"/>
  <c r="L30" i="13"/>
  <c r="Q30" i="13" s="1"/>
  <c r="L41" i="12"/>
  <c r="Q41" i="12" s="1"/>
  <c r="Q41" i="11"/>
  <c r="AB41" i="11" s="1"/>
  <c r="L41" i="13"/>
  <c r="Q41" i="13" s="1"/>
  <c r="L24" i="12"/>
  <c r="Q24" i="12" s="1"/>
  <c r="Q24" i="11"/>
  <c r="AB24" i="11" s="1"/>
  <c r="L24" i="13"/>
  <c r="Q24" i="13" s="1"/>
  <c r="L26" i="12"/>
  <c r="Q26" i="12" s="1"/>
  <c r="Q26" i="11"/>
  <c r="AB26" i="11" s="1"/>
  <c r="L26" i="13"/>
  <c r="Q26" i="13" s="1"/>
  <c r="Q9" i="11"/>
  <c r="AB9" i="11" s="1"/>
  <c r="L9" i="12"/>
  <c r="Q9" i="12" s="1"/>
  <c r="L9" i="13"/>
  <c r="Q9" i="13" s="1"/>
  <c r="Y39" i="8"/>
  <c r="X39" i="23" s="1"/>
  <c r="X91" i="23" s="1"/>
  <c r="Y22" i="8"/>
  <c r="F46" i="5"/>
  <c r="Q47" i="13"/>
  <c r="Q47" i="12"/>
  <c r="Q47" i="11"/>
  <c r="Q47" i="10"/>
  <c r="R53" i="8"/>
  <c r="S58" i="8" s="1"/>
  <c r="Y12" i="8"/>
  <c r="Y30" i="8"/>
  <c r="L28" i="12"/>
  <c r="Q28" i="12" s="1"/>
  <c r="Q28" i="11"/>
  <c r="AB28" i="11" s="1"/>
  <c r="L28" i="13"/>
  <c r="Q28" i="13" s="1"/>
  <c r="L32" i="12"/>
  <c r="Q32" i="12" s="1"/>
  <c r="Q32" i="11"/>
  <c r="AB32" i="11" s="1"/>
  <c r="L32" i="13"/>
  <c r="Q32" i="13" s="1"/>
  <c r="L31" i="12"/>
  <c r="Q31" i="12" s="1"/>
  <c r="Q31" i="11"/>
  <c r="AB31" i="11" s="1"/>
  <c r="L31" i="13"/>
  <c r="Q31" i="13" s="1"/>
  <c r="L18" i="12"/>
  <c r="Q18" i="12" s="1"/>
  <c r="Q18" i="11"/>
  <c r="AB18" i="11" s="1"/>
  <c r="L18" i="13"/>
  <c r="Q18" i="13" s="1"/>
  <c r="Q11" i="11"/>
  <c r="AB11" i="11" s="1"/>
  <c r="L11" i="12"/>
  <c r="Q11" i="12" s="1"/>
  <c r="L11" i="13"/>
  <c r="Q11" i="13" s="1"/>
  <c r="Q14" i="25" l="1"/>
  <c r="L38" i="24"/>
  <c r="L81" i="24" s="1"/>
  <c r="M14" i="25"/>
  <c r="M15" i="25"/>
  <c r="L6" i="24"/>
  <c r="L49" i="24" s="1"/>
  <c r="C15" i="25"/>
  <c r="L42" i="13"/>
  <c r="Q42" i="13" s="1"/>
  <c r="L17" i="24"/>
  <c r="L60" i="24" s="1"/>
  <c r="L25" i="24"/>
  <c r="L68" i="24" s="1"/>
  <c r="L5" i="24"/>
  <c r="L48" i="24" s="1"/>
  <c r="U11" i="25"/>
  <c r="U9" i="25"/>
  <c r="U7" i="25"/>
  <c r="U13" i="25" s="1"/>
  <c r="AB39" i="8"/>
  <c r="L7" i="24"/>
  <c r="L50" i="24" s="1"/>
  <c r="B9" i="26"/>
  <c r="B11" i="26"/>
  <c r="L31" i="24"/>
  <c r="L74" i="24" s="1"/>
  <c r="AB8" i="8"/>
  <c r="X8" i="23"/>
  <c r="X60" i="23" s="1"/>
  <c r="AB27" i="8"/>
  <c r="X27" i="23"/>
  <c r="X79" i="23" s="1"/>
  <c r="AB26" i="8"/>
  <c r="X26" i="23"/>
  <c r="X78" i="23" s="1"/>
  <c r="L14" i="24"/>
  <c r="L57" i="24" s="1"/>
  <c r="K15" i="25"/>
  <c r="K14" i="25"/>
  <c r="L13" i="24"/>
  <c r="L56" i="24" s="1"/>
  <c r="L21" i="24"/>
  <c r="L64" i="24" s="1"/>
  <c r="L32" i="24"/>
  <c r="L75" i="24" s="1"/>
  <c r="AB18" i="8"/>
  <c r="X18" i="23"/>
  <c r="X70" i="23" s="1"/>
  <c r="AB23" i="8"/>
  <c r="X23" i="23"/>
  <c r="X75" i="23" s="1"/>
  <c r="AB37" i="8"/>
  <c r="X37" i="23"/>
  <c r="X89" i="23" s="1"/>
  <c r="AB24" i="8"/>
  <c r="X24" i="23"/>
  <c r="X76" i="23" s="1"/>
  <c r="AB11" i="8"/>
  <c r="X11" i="23"/>
  <c r="X63" i="23" s="1"/>
  <c r="L33" i="24"/>
  <c r="L76" i="24" s="1"/>
  <c r="L23" i="24"/>
  <c r="L66" i="24" s="1"/>
  <c r="E14" i="25"/>
  <c r="E15" i="25"/>
  <c r="L22" i="24"/>
  <c r="L65" i="24" s="1"/>
  <c r="L39" i="24"/>
  <c r="L82" i="24" s="1"/>
  <c r="L28" i="24"/>
  <c r="L71" i="24" s="1"/>
  <c r="AB10" i="8"/>
  <c r="X10" i="23"/>
  <c r="X62" i="23" s="1"/>
  <c r="AB31" i="8"/>
  <c r="X31" i="23"/>
  <c r="X83" i="23" s="1"/>
  <c r="AB30" i="8"/>
  <c r="X30" i="23"/>
  <c r="X82" i="23" s="1"/>
  <c r="AB22" i="8"/>
  <c r="X22" i="23"/>
  <c r="X74" i="23" s="1"/>
  <c r="AB16" i="8"/>
  <c r="X16" i="23"/>
  <c r="X68" i="23" s="1"/>
  <c r="AB42" i="8"/>
  <c r="X42" i="23"/>
  <c r="X94" i="23" s="1"/>
  <c r="AB44" i="8"/>
  <c r="X44" i="23"/>
  <c r="X96" i="23" s="1"/>
  <c r="AB21" i="8"/>
  <c r="X21" i="23"/>
  <c r="X73" i="23" s="1"/>
  <c r="AB51" i="8"/>
  <c r="X51" i="23"/>
  <c r="X103" i="23" s="1"/>
  <c r="AB40" i="8"/>
  <c r="X40" i="23"/>
  <c r="X92" i="23" s="1"/>
  <c r="L37" i="24"/>
  <c r="L80" i="24" s="1"/>
  <c r="L19" i="24"/>
  <c r="L62" i="24" s="1"/>
  <c r="L35" i="24"/>
  <c r="L78" i="24" s="1"/>
  <c r="L24" i="24"/>
  <c r="L67" i="24" s="1"/>
  <c r="AB46" i="8"/>
  <c r="X46" i="23"/>
  <c r="X98" i="23" s="1"/>
  <c r="AB12" i="8"/>
  <c r="X12" i="23"/>
  <c r="X64" i="23" s="1"/>
  <c r="L34" i="24"/>
  <c r="L77" i="24" s="1"/>
  <c r="L27" i="24"/>
  <c r="L70" i="24" s="1"/>
  <c r="L10" i="24"/>
  <c r="L53" i="24" s="1"/>
  <c r="L30" i="24"/>
  <c r="L73" i="24" s="1"/>
  <c r="AB45" i="8"/>
  <c r="X45" i="23"/>
  <c r="X97" i="23" s="1"/>
  <c r="AB28" i="8"/>
  <c r="X28" i="23"/>
  <c r="X80" i="23" s="1"/>
  <c r="AB34" i="8"/>
  <c r="X34" i="23"/>
  <c r="X86" i="23" s="1"/>
  <c r="AB29" i="8"/>
  <c r="X29" i="23"/>
  <c r="X81" i="23" s="1"/>
  <c r="AB43" i="8"/>
  <c r="X43" i="23"/>
  <c r="X95" i="23" s="1"/>
  <c r="AB6" i="8"/>
  <c r="X6" i="23"/>
  <c r="X58" i="23" s="1"/>
  <c r="AB7" i="8"/>
  <c r="X7" i="23"/>
  <c r="X59" i="23" s="1"/>
  <c r="AB5" i="8"/>
  <c r="AB53" i="8" s="1"/>
  <c r="X5" i="23"/>
  <c r="X57" i="23" s="1"/>
  <c r="AB25" i="8"/>
  <c r="X25" i="23"/>
  <c r="X77" i="23" s="1"/>
  <c r="L12" i="24"/>
  <c r="L55" i="24" s="1"/>
  <c r="L42" i="24"/>
  <c r="L85" i="24" s="1"/>
  <c r="H15" i="25"/>
  <c r="H14" i="25"/>
  <c r="L15" i="24"/>
  <c r="L58" i="24" s="1"/>
  <c r="L9" i="24"/>
  <c r="L52" i="24" s="1"/>
  <c r="L15" i="26"/>
  <c r="L14" i="26"/>
  <c r="AB48" i="8"/>
  <c r="X48" i="23"/>
  <c r="X100" i="23" s="1"/>
  <c r="AB47" i="8"/>
  <c r="X47" i="23"/>
  <c r="X99" i="23" s="1"/>
  <c r="AB38" i="8"/>
  <c r="X38" i="23"/>
  <c r="X90" i="23" s="1"/>
  <c r="AB50" i="8"/>
  <c r="X50" i="23"/>
  <c r="X102" i="23" s="1"/>
  <c r="AB17" i="8"/>
  <c r="X17" i="23"/>
  <c r="X69" i="23" s="1"/>
  <c r="AB19" i="8"/>
  <c r="X19" i="23"/>
  <c r="X71" i="23" s="1"/>
  <c r="AB49" i="8"/>
  <c r="X49" i="23"/>
  <c r="X101" i="23" s="1"/>
  <c r="AB20" i="8"/>
  <c r="X20" i="23"/>
  <c r="X72" i="23" s="1"/>
  <c r="L36" i="24"/>
  <c r="L79" i="24" s="1"/>
  <c r="L29" i="24"/>
  <c r="L72" i="24" s="1"/>
  <c r="L26" i="24"/>
  <c r="L69" i="24" s="1"/>
  <c r="L11" i="24"/>
  <c r="L54" i="24" s="1"/>
  <c r="AB36" i="8"/>
  <c r="X36" i="23"/>
  <c r="X88" i="23" s="1"/>
  <c r="AB9" i="8"/>
  <c r="X9" i="23"/>
  <c r="X61" i="23" s="1"/>
  <c r="AB41" i="8"/>
  <c r="X41" i="23"/>
  <c r="X93" i="23" s="1"/>
  <c r="AB15" i="8"/>
  <c r="X15" i="23"/>
  <c r="X67" i="23" s="1"/>
  <c r="AB33" i="8"/>
  <c r="X33" i="23"/>
  <c r="X85" i="23" s="1"/>
  <c r="AB14" i="8"/>
  <c r="X14" i="23"/>
  <c r="X66" i="23" s="1"/>
  <c r="L40" i="24"/>
  <c r="L83" i="24" s="1"/>
  <c r="L20" i="24"/>
  <c r="L63" i="24" s="1"/>
  <c r="L41" i="24"/>
  <c r="L84" i="24" s="1"/>
  <c r="L8" i="24"/>
  <c r="L51" i="24" s="1"/>
  <c r="L18" i="24"/>
  <c r="L61" i="24" s="1"/>
  <c r="L16" i="24"/>
  <c r="L59" i="24" s="1"/>
  <c r="AE55" i="9"/>
  <c r="AE55" i="8"/>
  <c r="AO54" i="8" s="1"/>
  <c r="AE55" i="7"/>
  <c r="AB47" i="12"/>
  <c r="AB47" i="13"/>
  <c r="AB47" i="11"/>
  <c r="AB47" i="10"/>
  <c r="X24" i="13"/>
  <c r="Q5" i="13"/>
  <c r="L44" i="13"/>
  <c r="X11" i="13"/>
  <c r="X36" i="13"/>
  <c r="X27" i="13"/>
  <c r="X17" i="13"/>
  <c r="X15" i="13"/>
  <c r="X21" i="13"/>
  <c r="X32" i="13"/>
  <c r="X7" i="13"/>
  <c r="X9" i="13"/>
  <c r="X41" i="13"/>
  <c r="Q5" i="12"/>
  <c r="L44" i="12"/>
  <c r="S49" i="9"/>
  <c r="S49" i="23" s="1"/>
  <c r="S101" i="23" s="1"/>
  <c r="S15" i="9"/>
  <c r="S15" i="23" s="1"/>
  <c r="S67" i="23" s="1"/>
  <c r="S48" i="9"/>
  <c r="S48" i="23" s="1"/>
  <c r="S100" i="23" s="1"/>
  <c r="S8" i="9"/>
  <c r="S8" i="23" s="1"/>
  <c r="S60" i="23" s="1"/>
  <c r="S25" i="9"/>
  <c r="S25" i="23" s="1"/>
  <c r="S77" i="23" s="1"/>
  <c r="S30" i="9"/>
  <c r="S30" i="23" s="1"/>
  <c r="S82" i="23" s="1"/>
  <c r="S41" i="9"/>
  <c r="S41" i="23" s="1"/>
  <c r="S93" i="23" s="1"/>
  <c r="S20" i="9"/>
  <c r="S20" i="23" s="1"/>
  <c r="S72" i="23" s="1"/>
  <c r="S34" i="9"/>
  <c r="S34" i="23" s="1"/>
  <c r="S86" i="23" s="1"/>
  <c r="S46" i="9"/>
  <c r="S46" i="23" s="1"/>
  <c r="S98" i="23" s="1"/>
  <c r="S23" i="9"/>
  <c r="S23" i="23" s="1"/>
  <c r="S75" i="23" s="1"/>
  <c r="S37" i="9"/>
  <c r="S37" i="23" s="1"/>
  <c r="S89" i="23" s="1"/>
  <c r="S18" i="9"/>
  <c r="S18" i="23" s="1"/>
  <c r="S70" i="23" s="1"/>
  <c r="S21" i="9"/>
  <c r="S21" i="23" s="1"/>
  <c r="S73" i="23" s="1"/>
  <c r="S43" i="9"/>
  <c r="S43" i="23" s="1"/>
  <c r="S95" i="23" s="1"/>
  <c r="S38" i="9"/>
  <c r="S38" i="23" s="1"/>
  <c r="S90" i="23" s="1"/>
  <c r="S39" i="9"/>
  <c r="S39" i="23" s="1"/>
  <c r="S91" i="23" s="1"/>
  <c r="S6" i="9"/>
  <c r="S6" i="23" s="1"/>
  <c r="S58" i="23" s="1"/>
  <c r="S28" i="9"/>
  <c r="S28" i="23" s="1"/>
  <c r="S80" i="23" s="1"/>
  <c r="S35" i="9"/>
  <c r="S35" i="23" s="1"/>
  <c r="S87" i="23" s="1"/>
  <c r="S12" i="9"/>
  <c r="S12" i="23" s="1"/>
  <c r="S64" i="23" s="1"/>
  <c r="S13" i="9"/>
  <c r="S13" i="23" s="1"/>
  <c r="S65" i="23" s="1"/>
  <c r="S24" i="9"/>
  <c r="S24" i="23" s="1"/>
  <c r="S76" i="23" s="1"/>
  <c r="S45" i="9"/>
  <c r="S45" i="23" s="1"/>
  <c r="S97" i="23" s="1"/>
  <c r="S10" i="9"/>
  <c r="S10" i="23" s="1"/>
  <c r="S62" i="23" s="1"/>
  <c r="S9" i="9"/>
  <c r="S9" i="23" s="1"/>
  <c r="S61" i="23" s="1"/>
  <c r="S47" i="9"/>
  <c r="S47" i="23" s="1"/>
  <c r="S99" i="23" s="1"/>
  <c r="S16" i="9"/>
  <c r="S16" i="23" s="1"/>
  <c r="S68" i="23" s="1"/>
  <c r="S42" i="9"/>
  <c r="S42" i="23" s="1"/>
  <c r="S94" i="23" s="1"/>
  <c r="S40" i="9"/>
  <c r="S40" i="23" s="1"/>
  <c r="S92" i="23" s="1"/>
  <c r="S5" i="9"/>
  <c r="S5" i="23" s="1"/>
  <c r="S57" i="23" s="1"/>
  <c r="S29" i="9"/>
  <c r="S29" i="23" s="1"/>
  <c r="S81" i="23" s="1"/>
  <c r="S31" i="9"/>
  <c r="S31" i="23" s="1"/>
  <c r="S83" i="23" s="1"/>
  <c r="S7" i="9"/>
  <c r="S7" i="23" s="1"/>
  <c r="S59" i="23" s="1"/>
  <c r="S17" i="9"/>
  <c r="S17" i="23" s="1"/>
  <c r="S69" i="23" s="1"/>
  <c r="S33" i="9"/>
  <c r="S33" i="23" s="1"/>
  <c r="S85" i="23" s="1"/>
  <c r="S36" i="9"/>
  <c r="S36" i="23" s="1"/>
  <c r="S88" i="23" s="1"/>
  <c r="S27" i="9"/>
  <c r="S27" i="23" s="1"/>
  <c r="S79" i="23" s="1"/>
  <c r="S44" i="9"/>
  <c r="S44" i="23" s="1"/>
  <c r="S96" i="23" s="1"/>
  <c r="S14" i="9"/>
  <c r="S14" i="23" s="1"/>
  <c r="S66" i="23" s="1"/>
  <c r="S22" i="9"/>
  <c r="S22" i="23" s="1"/>
  <c r="S74" i="23" s="1"/>
  <c r="S50" i="9"/>
  <c r="S50" i="23" s="1"/>
  <c r="S102" i="23" s="1"/>
  <c r="S11" i="9"/>
  <c r="S11" i="23" s="1"/>
  <c r="S63" i="23" s="1"/>
  <c r="S26" i="9"/>
  <c r="S26" i="23" s="1"/>
  <c r="S78" i="23" s="1"/>
  <c r="S51" i="9"/>
  <c r="S51" i="23" s="1"/>
  <c r="S103" i="23" s="1"/>
  <c r="S32" i="9"/>
  <c r="S32" i="23" s="1"/>
  <c r="S84" i="23" s="1"/>
  <c r="S19" i="9"/>
  <c r="S19" i="23" s="1"/>
  <c r="S71" i="23" s="1"/>
  <c r="X16" i="13"/>
  <c r="X37" i="13"/>
  <c r="X18" i="13"/>
  <c r="AB5" i="11"/>
  <c r="Q44" i="11"/>
  <c r="X40" i="13"/>
  <c r="X23" i="13"/>
  <c r="X29" i="13"/>
  <c r="X25" i="13"/>
  <c r="X28" i="13"/>
  <c r="X26" i="13"/>
  <c r="X14" i="13"/>
  <c r="X34" i="13"/>
  <c r="X42" i="13"/>
  <c r="X13" i="13"/>
  <c r="X39" i="13"/>
  <c r="X30" i="13"/>
  <c r="E43" i="5"/>
  <c r="X46" i="13"/>
  <c r="X46" i="12"/>
  <c r="X46" i="10"/>
  <c r="X46" i="11"/>
  <c r="X49" i="11" s="1"/>
  <c r="X27" i="12" s="1"/>
  <c r="Y27" i="12" s="1"/>
  <c r="AB27" i="12" s="1"/>
  <c r="X31" i="12"/>
  <c r="Y31" i="12" s="1"/>
  <c r="AB31" i="12" s="1"/>
  <c r="X31" i="13"/>
  <c r="X33" i="13"/>
  <c r="X12" i="13"/>
  <c r="X38" i="12"/>
  <c r="Y38" i="12" s="1"/>
  <c r="AB38" i="12" s="1"/>
  <c r="X38" i="13"/>
  <c r="X19" i="12"/>
  <c r="Y19" i="12" s="1"/>
  <c r="AB19" i="12" s="1"/>
  <c r="X19" i="13"/>
  <c r="X10" i="13"/>
  <c r="X20" i="13"/>
  <c r="X8" i="12"/>
  <c r="Y8" i="12" s="1"/>
  <c r="AB8" i="12" s="1"/>
  <c r="X8" i="13"/>
  <c r="X22" i="12"/>
  <c r="Y22" i="12" s="1"/>
  <c r="AB22" i="12" s="1"/>
  <c r="X22" i="13"/>
  <c r="Y53" i="8"/>
  <c r="X6" i="13"/>
  <c r="X35" i="12"/>
  <c r="Y35" i="12" s="1"/>
  <c r="AB35" i="12" s="1"/>
  <c r="X35" i="13"/>
  <c r="E23" i="5"/>
  <c r="AE57" i="6"/>
  <c r="N9" i="25" l="1"/>
  <c r="N15" i="25" s="1"/>
  <c r="E47" i="5"/>
  <c r="X37" i="12"/>
  <c r="Y37" i="12" s="1"/>
  <c r="AB37" i="12" s="1"/>
  <c r="X29" i="12"/>
  <c r="Y29" i="12" s="1"/>
  <c r="AB29" i="12" s="1"/>
  <c r="B7" i="26"/>
  <c r="B13" i="26" s="1"/>
  <c r="U15" i="25"/>
  <c r="U14" i="25"/>
  <c r="I11" i="25"/>
  <c r="I7" i="25"/>
  <c r="I13" i="25" s="1"/>
  <c r="I9" i="25"/>
  <c r="AB44" i="11"/>
  <c r="N7" i="25"/>
  <c r="N13" i="25" s="1"/>
  <c r="N11" i="25"/>
  <c r="E29" i="5"/>
  <c r="B15" i="26"/>
  <c r="B14" i="26"/>
  <c r="Y20" i="13"/>
  <c r="AB20" i="13" s="1"/>
  <c r="Y18" i="13"/>
  <c r="AB18" i="13" s="1"/>
  <c r="Y39" i="13"/>
  <c r="AB39" i="13" s="1"/>
  <c r="S31" i="28" s="1"/>
  <c r="Y19" i="13"/>
  <c r="AB19" i="13" s="1"/>
  <c r="U19" i="24"/>
  <c r="U62" i="24" s="1"/>
  <c r="Y13" i="13"/>
  <c r="AB13" i="13" s="1"/>
  <c r="AA24" i="17" s="1"/>
  <c r="Y29" i="13"/>
  <c r="AB29" i="13" s="1"/>
  <c r="S22" i="28" s="1"/>
  <c r="U29" i="24"/>
  <c r="U72" i="24" s="1"/>
  <c r="Y15" i="13"/>
  <c r="AB15" i="13" s="1"/>
  <c r="Y24" i="13"/>
  <c r="AB24" i="13" s="1"/>
  <c r="Y42" i="13"/>
  <c r="AB42" i="13" s="1"/>
  <c r="S33" i="28" s="1"/>
  <c r="Y16" i="13"/>
  <c r="AB16" i="13" s="1"/>
  <c r="S8" i="28" s="1"/>
  <c r="Y17" i="13"/>
  <c r="AB17" i="13" s="1"/>
  <c r="S10" i="28" s="1"/>
  <c r="Y35" i="13"/>
  <c r="AB35" i="13" s="1"/>
  <c r="U35" i="24"/>
  <c r="U78" i="24" s="1"/>
  <c r="Y25" i="13"/>
  <c r="AB25" i="13" s="1"/>
  <c r="S17" i="28" s="1"/>
  <c r="Y22" i="13"/>
  <c r="AB22" i="13" s="1"/>
  <c r="S13" i="28" s="1"/>
  <c r="U22" i="24"/>
  <c r="U65" i="24" s="1"/>
  <c r="Y23" i="13"/>
  <c r="AB23" i="13" s="1"/>
  <c r="S14" i="28" s="1"/>
  <c r="Y27" i="13"/>
  <c r="AB27" i="13" s="1"/>
  <c r="S19" i="28" s="1"/>
  <c r="U27" i="24"/>
  <c r="U70" i="24" s="1"/>
  <c r="Y32" i="13"/>
  <c r="AB32" i="13" s="1"/>
  <c r="Y31" i="13"/>
  <c r="AB31" i="13" s="1"/>
  <c r="S24" i="28" s="1"/>
  <c r="U31" i="24"/>
  <c r="U74" i="24" s="1"/>
  <c r="Y38" i="13"/>
  <c r="AB38" i="13" s="1"/>
  <c r="S29" i="28" s="1"/>
  <c r="U38" i="24"/>
  <c r="U81" i="24" s="1"/>
  <c r="Y34" i="13"/>
  <c r="AB34" i="13" s="1"/>
  <c r="Y14" i="13"/>
  <c r="AB14" i="13" s="1"/>
  <c r="Y40" i="13"/>
  <c r="AB40" i="13" s="1"/>
  <c r="S30" i="28" s="1"/>
  <c r="Y41" i="13"/>
  <c r="AB41" i="13" s="1"/>
  <c r="Y36" i="13"/>
  <c r="AB36" i="13" s="1"/>
  <c r="S27" i="28" s="1"/>
  <c r="Y30" i="13"/>
  <c r="AB30" i="13" s="1"/>
  <c r="S23" i="28" s="1"/>
  <c r="Y10" i="13"/>
  <c r="AB10" i="13" s="1"/>
  <c r="S7" i="28" s="1"/>
  <c r="Y6" i="13"/>
  <c r="AB6" i="13" s="1"/>
  <c r="Y8" i="13"/>
  <c r="AB8" i="13" s="1"/>
  <c r="S5" i="28" s="1"/>
  <c r="U8" i="24"/>
  <c r="U51" i="24" s="1"/>
  <c r="Y12" i="13"/>
  <c r="AB12" i="13" s="1"/>
  <c r="S11" i="28" s="1"/>
  <c r="Y26" i="13"/>
  <c r="AB26" i="13" s="1"/>
  <c r="S18" i="28" s="1"/>
  <c r="Y9" i="13"/>
  <c r="AB9" i="13" s="1"/>
  <c r="S6" i="28" s="1"/>
  <c r="Y11" i="13"/>
  <c r="AB11" i="13" s="1"/>
  <c r="S9" i="28" s="1"/>
  <c r="Y33" i="13"/>
  <c r="AB33" i="13" s="1"/>
  <c r="Y28" i="13"/>
  <c r="AB28" i="13" s="1"/>
  <c r="Y7" i="13"/>
  <c r="AB7" i="13" s="1"/>
  <c r="Y37" i="13"/>
  <c r="AB37" i="13" s="1"/>
  <c r="S28" i="28" s="1"/>
  <c r="U37" i="24"/>
  <c r="U80" i="24" s="1"/>
  <c r="Y21" i="13"/>
  <c r="AB21" i="13" s="1"/>
  <c r="S12" i="28" s="1"/>
  <c r="X32" i="12"/>
  <c r="Y32" i="12" s="1"/>
  <c r="AB32" i="12" s="1"/>
  <c r="X41" i="12"/>
  <c r="Y41" i="12" s="1"/>
  <c r="AB41" i="12" s="1"/>
  <c r="X20" i="12"/>
  <c r="Y20" i="12" s="1"/>
  <c r="AB20" i="12" s="1"/>
  <c r="X12" i="12"/>
  <c r="Y12" i="12" s="1"/>
  <c r="AB12" i="12" s="1"/>
  <c r="X39" i="12"/>
  <c r="Y39" i="12" s="1"/>
  <c r="AB39" i="12" s="1"/>
  <c r="X42" i="12"/>
  <c r="Y42" i="12" s="1"/>
  <c r="AB42" i="12" s="1"/>
  <c r="X36" i="12"/>
  <c r="Y36" i="12" s="1"/>
  <c r="AB36" i="12" s="1"/>
  <c r="X14" i="12"/>
  <c r="Y14" i="12" s="1"/>
  <c r="AB14" i="12" s="1"/>
  <c r="X6" i="12"/>
  <c r="Y6" i="12" s="1"/>
  <c r="AB6" i="12" s="1"/>
  <c r="X23" i="12"/>
  <c r="Y23" i="12" s="1"/>
  <c r="AB23" i="12" s="1"/>
  <c r="X9" i="12"/>
  <c r="Y9" i="12" s="1"/>
  <c r="AB9" i="12" s="1"/>
  <c r="X21" i="12"/>
  <c r="Y21" i="12" s="1"/>
  <c r="AB21" i="12" s="1"/>
  <c r="X10" i="12"/>
  <c r="Y10" i="12" s="1"/>
  <c r="AB10" i="12" s="1"/>
  <c r="X33" i="12"/>
  <c r="Y33" i="12" s="1"/>
  <c r="AB33" i="12" s="1"/>
  <c r="X26" i="12"/>
  <c r="Y26" i="12" s="1"/>
  <c r="AB26" i="12" s="1"/>
  <c r="X16" i="12"/>
  <c r="Y16" i="12" s="1"/>
  <c r="AB16" i="12" s="1"/>
  <c r="X17" i="12"/>
  <c r="Y17" i="12" s="1"/>
  <c r="AB17" i="12" s="1"/>
  <c r="X25" i="12"/>
  <c r="Y25" i="12" s="1"/>
  <c r="AB25" i="12" s="1"/>
  <c r="AM57" i="6"/>
  <c r="AM55" i="9"/>
  <c r="AM55" i="8"/>
  <c r="AM55" i="7"/>
  <c r="E46" i="5"/>
  <c r="Y46" i="13"/>
  <c r="Y46" i="12"/>
  <c r="Y46" i="11"/>
  <c r="Y46" i="10"/>
  <c r="X30" i="12"/>
  <c r="Y30" i="12" s="1"/>
  <c r="AB30" i="12" s="1"/>
  <c r="X13" i="12"/>
  <c r="Y13" i="12" s="1"/>
  <c r="AB13" i="12" s="1"/>
  <c r="AA35" i="17" s="1"/>
  <c r="X40" i="12"/>
  <c r="Y40" i="12" s="1"/>
  <c r="AB40" i="12" s="1"/>
  <c r="Q44" i="12"/>
  <c r="X15" i="12"/>
  <c r="Y15" i="12" s="1"/>
  <c r="AB15" i="12" s="1"/>
  <c r="X11" i="12"/>
  <c r="Y11" i="12" s="1"/>
  <c r="AB11" i="12" s="1"/>
  <c r="AA165" i="16" s="1"/>
  <c r="X18" i="12"/>
  <c r="Y18" i="12" s="1"/>
  <c r="AB18" i="12" s="1"/>
  <c r="S53" i="9"/>
  <c r="X24" i="12"/>
  <c r="Y24" i="12" s="1"/>
  <c r="AB24" i="12" s="1"/>
  <c r="X28" i="12"/>
  <c r="Y28" i="12" s="1"/>
  <c r="AB28" i="12" s="1"/>
  <c r="AG57" i="6"/>
  <c r="AG55" i="9"/>
  <c r="AG55" i="8"/>
  <c r="AG55" i="7"/>
  <c r="X34" i="12"/>
  <c r="Y34" i="12" s="1"/>
  <c r="AB34" i="12" s="1"/>
  <c r="X5" i="12"/>
  <c r="X5" i="13"/>
  <c r="U5" i="24" s="1"/>
  <c r="U48" i="24" s="1"/>
  <c r="X7" i="12"/>
  <c r="Y7" i="12" s="1"/>
  <c r="AB7" i="12" s="1"/>
  <c r="Q44" i="13"/>
  <c r="N14" i="25" l="1"/>
  <c r="AA399" i="16"/>
  <c r="S32" i="28"/>
  <c r="G11" i="28"/>
  <c r="G6" i="28"/>
  <c r="S21" i="28"/>
  <c r="S16" i="28"/>
  <c r="S26" i="28"/>
  <c r="S15" i="28"/>
  <c r="S20" i="28"/>
  <c r="S25" i="28"/>
  <c r="AA3" i="17"/>
  <c r="AA401" i="16"/>
  <c r="AA25" i="17"/>
  <c r="AA43" i="17"/>
  <c r="AA37" i="17"/>
  <c r="AA332" i="16"/>
  <c r="AA199" i="16"/>
  <c r="AG199" i="16" s="1"/>
  <c r="AA184" i="16"/>
  <c r="AG184" i="16" s="1"/>
  <c r="AA6" i="16"/>
  <c r="AA102" i="17"/>
  <c r="AA208" i="16"/>
  <c r="AG208" i="16" s="1"/>
  <c r="AA4" i="17"/>
  <c r="AA60" i="17"/>
  <c r="AA201" i="16"/>
  <c r="AG201" i="16" s="1"/>
  <c r="AA5" i="17"/>
  <c r="AA136" i="16"/>
  <c r="AA204" i="16"/>
  <c r="AG204" i="16" s="1"/>
  <c r="AA114" i="16"/>
  <c r="AA289" i="16"/>
  <c r="AA206" i="16"/>
  <c r="AG206" i="16" s="1"/>
  <c r="AA36" i="17"/>
  <c r="AA121" i="16"/>
  <c r="AA50" i="17"/>
  <c r="AA48" i="17"/>
  <c r="AA113" i="16"/>
  <c r="AA294" i="16"/>
  <c r="AA37" i="16"/>
  <c r="AG37" i="16" s="1"/>
  <c r="AA7" i="16"/>
  <c r="AG7" i="16" s="1"/>
  <c r="AA322" i="16"/>
  <c r="AG322" i="16" s="1"/>
  <c r="AA2" i="17"/>
  <c r="AA74" i="16"/>
  <c r="AG74" i="16" s="1"/>
  <c r="AA59" i="17"/>
  <c r="AA224" i="16"/>
  <c r="AA68" i="16"/>
  <c r="AA380" i="16"/>
  <c r="AG380" i="16" s="1"/>
  <c r="AA319" i="16"/>
  <c r="L319" i="21" s="1"/>
  <c r="O319" i="21" s="1"/>
  <c r="AA242" i="16"/>
  <c r="AG242" i="16" s="1"/>
  <c r="AA225" i="16"/>
  <c r="AG225" i="16" s="1"/>
  <c r="AA302" i="16"/>
  <c r="L302" i="21" s="1"/>
  <c r="O302" i="21" s="1"/>
  <c r="AA277" i="16"/>
  <c r="L277" i="21" s="1"/>
  <c r="O277" i="21" s="1"/>
  <c r="AA54" i="17"/>
  <c r="AA310" i="16"/>
  <c r="AG310" i="16" s="1"/>
  <c r="AA106" i="16"/>
  <c r="AG106" i="16" s="1"/>
  <c r="AA113" i="17"/>
  <c r="AA348" i="16"/>
  <c r="AG348" i="16" s="1"/>
  <c r="AA63" i="17"/>
  <c r="AA344" i="16"/>
  <c r="AA30" i="16"/>
  <c r="L30" i="21" s="1"/>
  <c r="O30" i="21" s="1"/>
  <c r="AA351" i="16"/>
  <c r="AG351" i="16" s="1"/>
  <c r="AA105" i="16"/>
  <c r="AG105" i="16" s="1"/>
  <c r="AA312" i="16"/>
  <c r="L312" i="21" s="1"/>
  <c r="O312" i="21" s="1"/>
  <c r="AA385" i="16"/>
  <c r="AG385" i="16" s="1"/>
  <c r="AA411" i="16"/>
  <c r="L411" i="21" s="1"/>
  <c r="O411" i="21" s="1"/>
  <c r="AA357" i="16"/>
  <c r="AG357" i="16" s="1"/>
  <c r="AA326" i="16"/>
  <c r="AA352" i="16"/>
  <c r="L352" i="21" s="1"/>
  <c r="O352" i="21" s="1"/>
  <c r="AA338" i="16"/>
  <c r="AG338" i="16" s="1"/>
  <c r="AA213" i="16"/>
  <c r="AG213" i="16" s="1"/>
  <c r="AA115" i="17"/>
  <c r="AA373" i="16"/>
  <c r="AG373" i="16" s="1"/>
  <c r="AA365" i="16"/>
  <c r="AG365" i="16" s="1"/>
  <c r="AA350" i="16"/>
  <c r="AG350" i="16" s="1"/>
  <c r="AA360" i="16"/>
  <c r="AA386" i="16"/>
  <c r="AA221" i="16"/>
  <c r="AG221" i="16" s="1"/>
  <c r="AA381" i="16"/>
  <c r="AG381" i="16" s="1"/>
  <c r="AA303" i="16"/>
  <c r="AG303" i="16" s="1"/>
  <c r="AA366" i="16"/>
  <c r="AG366" i="16" s="1"/>
  <c r="AA305" i="16"/>
  <c r="L305" i="21" s="1"/>
  <c r="O305" i="21" s="1"/>
  <c r="AA299" i="16"/>
  <c r="AG299" i="16" s="1"/>
  <c r="AA211" i="16"/>
  <c r="AG211" i="16" s="1"/>
  <c r="AA379" i="16"/>
  <c r="AG379" i="16" s="1"/>
  <c r="AA286" i="16"/>
  <c r="L286" i="21" s="1"/>
  <c r="O286" i="21" s="1"/>
  <c r="AA335" i="16"/>
  <c r="AG335" i="16" s="1"/>
  <c r="AA390" i="16"/>
  <c r="L390" i="21" s="1"/>
  <c r="O390" i="21" s="1"/>
  <c r="AA321" i="16"/>
  <c r="AG321" i="16" s="1"/>
  <c r="AA347" i="16"/>
  <c r="AG347" i="16" s="1"/>
  <c r="AA212" i="16"/>
  <c r="AG212" i="16" s="1"/>
  <c r="AA114" i="17"/>
  <c r="AA367" i="16"/>
  <c r="AA363" i="16"/>
  <c r="AA389" i="16"/>
  <c r="AG389" i="16" s="1"/>
  <c r="AA361" i="16"/>
  <c r="AG361" i="16" s="1"/>
  <c r="AA317" i="16"/>
  <c r="L317" i="21" s="1"/>
  <c r="O317" i="21" s="1"/>
  <c r="AA391" i="16"/>
  <c r="AG391" i="16" s="1"/>
  <c r="AA369" i="16"/>
  <c r="AG369" i="16" s="1"/>
  <c r="AA129" i="16"/>
  <c r="AA41" i="17"/>
  <c r="AA412" i="16"/>
  <c r="AG412" i="16" s="1"/>
  <c r="AA232" i="16"/>
  <c r="AG232" i="16" s="1"/>
  <c r="AA56" i="17"/>
  <c r="AA197" i="16"/>
  <c r="AG197" i="16" s="1"/>
  <c r="AA193" i="16"/>
  <c r="AG193" i="16" s="1"/>
  <c r="AA22" i="17"/>
  <c r="AA23" i="17"/>
  <c r="AA285" i="16"/>
  <c r="AG285" i="16" s="1"/>
  <c r="AA325" i="16"/>
  <c r="AG325" i="16" s="1"/>
  <c r="AA309" i="16"/>
  <c r="AG309" i="16" s="1"/>
  <c r="AA342" i="16"/>
  <c r="AG342" i="16" s="1"/>
  <c r="AA383" i="16"/>
  <c r="AG383" i="16" s="1"/>
  <c r="AA297" i="16"/>
  <c r="L297" i="21" s="1"/>
  <c r="O297" i="21" s="1"/>
  <c r="AA298" i="16"/>
  <c r="AA307" i="16"/>
  <c r="AG307" i="16" s="1"/>
  <c r="AA255" i="16"/>
  <c r="AG255" i="16" s="1"/>
  <c r="AA259" i="16"/>
  <c r="AG259" i="16" s="1"/>
  <c r="AA77" i="17"/>
  <c r="AA408" i="16"/>
  <c r="AG408" i="16" s="1"/>
  <c r="AA101" i="16"/>
  <c r="L101" i="21" s="1"/>
  <c r="AA108" i="16"/>
  <c r="AG108" i="16" s="1"/>
  <c r="AA192" i="16"/>
  <c r="AG192" i="16" s="1"/>
  <c r="AA6" i="17"/>
  <c r="AA9" i="17"/>
  <c r="AA398" i="16"/>
  <c r="AG398" i="16" s="1"/>
  <c r="AA215" i="16"/>
  <c r="AG215" i="16" s="1"/>
  <c r="AA219" i="16"/>
  <c r="AG219" i="16" s="1"/>
  <c r="AA52" i="17"/>
  <c r="AA167" i="16"/>
  <c r="L167" i="21" s="1"/>
  <c r="O167" i="21" s="1"/>
  <c r="AA4" i="16"/>
  <c r="AA32" i="16"/>
  <c r="AG32" i="16" s="1"/>
  <c r="AA372" i="16"/>
  <c r="AG372" i="16" s="1"/>
  <c r="U21" i="24"/>
  <c r="U64" i="24" s="1"/>
  <c r="U33" i="24"/>
  <c r="U76" i="24" s="1"/>
  <c r="U12" i="24"/>
  <c r="U55" i="24" s="1"/>
  <c r="U30" i="24"/>
  <c r="U73" i="24" s="1"/>
  <c r="U14" i="24"/>
  <c r="U57" i="24" s="1"/>
  <c r="U32" i="24"/>
  <c r="U75" i="24" s="1"/>
  <c r="U25" i="24"/>
  <c r="U68" i="24" s="1"/>
  <c r="U42" i="24"/>
  <c r="U85" i="24" s="1"/>
  <c r="U13" i="24"/>
  <c r="U56" i="24" s="1"/>
  <c r="U20" i="24"/>
  <c r="U63" i="24" s="1"/>
  <c r="AA415" i="16"/>
  <c r="AG415" i="16" s="1"/>
  <c r="AA267" i="16"/>
  <c r="AG267" i="16" s="1"/>
  <c r="AA177" i="16"/>
  <c r="AG177" i="16" s="1"/>
  <c r="AA233" i="16"/>
  <c r="AG233" i="16" s="1"/>
  <c r="AA64" i="17"/>
  <c r="AA205" i="16"/>
  <c r="AG205" i="16" s="1"/>
  <c r="AA194" i="16"/>
  <c r="AG194" i="16" s="1"/>
  <c r="AA26" i="17"/>
  <c r="AA27" i="17"/>
  <c r="AA120" i="16"/>
  <c r="AG120" i="16" s="1"/>
  <c r="AA295" i="16"/>
  <c r="AG295" i="16" s="1"/>
  <c r="AA343" i="16"/>
  <c r="L343" i="21" s="1"/>
  <c r="O343" i="21" s="1"/>
  <c r="AA358" i="16"/>
  <c r="AG358" i="16" s="1"/>
  <c r="AA296" i="16"/>
  <c r="AG296" i="16" s="1"/>
  <c r="AA313" i="16"/>
  <c r="AG313" i="16" s="1"/>
  <c r="AA330" i="16"/>
  <c r="AG330" i="16" s="1"/>
  <c r="AA355" i="16"/>
  <c r="L355" i="21" s="1"/>
  <c r="O355" i="21" s="1"/>
  <c r="AA247" i="16"/>
  <c r="AG247" i="16" s="1"/>
  <c r="AA68" i="17"/>
  <c r="AA93" i="17"/>
  <c r="AA409" i="16"/>
  <c r="AG409" i="16" s="1"/>
  <c r="AA111" i="16"/>
  <c r="AG111" i="16" s="1"/>
  <c r="AA181" i="16"/>
  <c r="AG181" i="16" s="1"/>
  <c r="AA185" i="16"/>
  <c r="AG185" i="16" s="1"/>
  <c r="AA12" i="17"/>
  <c r="AA15" i="17"/>
  <c r="AA400" i="16"/>
  <c r="AG400" i="16" s="1"/>
  <c r="AA214" i="16"/>
  <c r="AG214" i="16" s="1"/>
  <c r="AA220" i="16"/>
  <c r="AG220" i="16" s="1"/>
  <c r="AA45" i="17"/>
  <c r="AA144" i="16"/>
  <c r="AG144" i="16" s="1"/>
  <c r="AA73" i="16"/>
  <c r="AG73" i="16" s="1"/>
  <c r="AA105" i="17"/>
  <c r="AA106" i="17"/>
  <c r="U11" i="24"/>
  <c r="U54" i="24" s="1"/>
  <c r="U36" i="24"/>
  <c r="U79" i="24" s="1"/>
  <c r="U34" i="24"/>
  <c r="U77" i="24" s="1"/>
  <c r="U24" i="24"/>
  <c r="U67" i="24" s="1"/>
  <c r="AA416" i="16"/>
  <c r="AA53" i="17"/>
  <c r="AA202" i="16"/>
  <c r="AG202" i="16" s="1"/>
  <c r="AA95" i="17"/>
  <c r="AA110" i="16"/>
  <c r="AG110" i="16" s="1"/>
  <c r="AA178" i="16"/>
  <c r="AG178" i="16" s="1"/>
  <c r="AA16" i="17"/>
  <c r="AA17" i="17"/>
  <c r="AA222" i="16"/>
  <c r="AG222" i="16" s="1"/>
  <c r="AA40" i="17"/>
  <c r="AA47" i="17"/>
  <c r="AA154" i="16"/>
  <c r="AG154" i="16" s="1"/>
  <c r="AA91" i="17"/>
  <c r="AA261" i="16"/>
  <c r="AG261" i="16" s="1"/>
  <c r="AA175" i="16"/>
  <c r="AG175" i="16" s="1"/>
  <c r="AA8" i="17"/>
  <c r="AA234" i="16"/>
  <c r="AG234" i="16" s="1"/>
  <c r="AA207" i="16"/>
  <c r="AG207" i="16" s="1"/>
  <c r="AA28" i="17"/>
  <c r="AA29" i="17"/>
  <c r="AA253" i="16"/>
  <c r="AG253" i="16" s="1"/>
  <c r="AA70" i="17"/>
  <c r="AA417" i="16"/>
  <c r="AG417" i="16" s="1"/>
  <c r="AA183" i="16"/>
  <c r="AG183" i="16" s="1"/>
  <c r="AA235" i="16"/>
  <c r="AG235" i="16" s="1"/>
  <c r="AA55" i="17"/>
  <c r="AA198" i="16"/>
  <c r="AG198" i="16" s="1"/>
  <c r="AA195" i="16"/>
  <c r="AG195" i="16" s="1"/>
  <c r="AA30" i="17"/>
  <c r="AA31" i="17"/>
  <c r="AA333" i="16"/>
  <c r="AG333" i="16" s="1"/>
  <c r="AA349" i="16"/>
  <c r="AG349" i="16" s="1"/>
  <c r="AA336" i="16"/>
  <c r="AA337" i="16"/>
  <c r="AG337" i="16" s="1"/>
  <c r="AA346" i="16"/>
  <c r="AG346" i="16" s="1"/>
  <c r="AA324" i="16"/>
  <c r="L324" i="21" s="1"/>
  <c r="O324" i="21" s="1"/>
  <c r="AA248" i="16"/>
  <c r="AG248" i="16" s="1"/>
  <c r="AA84" i="17"/>
  <c r="AA413" i="16"/>
  <c r="AG413" i="16" s="1"/>
  <c r="AA410" i="16"/>
  <c r="AG410" i="16" s="1"/>
  <c r="AA104" i="16"/>
  <c r="AA189" i="16"/>
  <c r="AG189" i="16" s="1"/>
  <c r="AA179" i="16"/>
  <c r="AG179" i="16" s="1"/>
  <c r="AA18" i="17"/>
  <c r="AA19" i="17"/>
  <c r="AA216" i="16"/>
  <c r="AG216" i="16" s="1"/>
  <c r="AA44" i="17"/>
  <c r="AA49" i="17"/>
  <c r="AA170" i="16"/>
  <c r="AA75" i="16"/>
  <c r="AG75" i="16" s="1"/>
  <c r="AA375" i="16"/>
  <c r="AG375" i="16" s="1"/>
  <c r="AA374" i="16"/>
  <c r="AG374" i="16" s="1"/>
  <c r="U7" i="24"/>
  <c r="U50" i="24" s="1"/>
  <c r="U9" i="24"/>
  <c r="U52" i="24" s="1"/>
  <c r="U6" i="24"/>
  <c r="U49" i="24" s="1"/>
  <c r="U41" i="24"/>
  <c r="U84" i="24" s="1"/>
  <c r="U23" i="24"/>
  <c r="U66" i="24" s="1"/>
  <c r="U17" i="24"/>
  <c r="U60" i="24" s="1"/>
  <c r="U15" i="24"/>
  <c r="U58" i="24" s="1"/>
  <c r="U39" i="24"/>
  <c r="U82" i="24" s="1"/>
  <c r="I14" i="25"/>
  <c r="I15" i="25"/>
  <c r="AA79" i="17"/>
  <c r="AA228" i="16"/>
  <c r="AG228" i="16" s="1"/>
  <c r="AA57" i="17"/>
  <c r="AA203" i="16"/>
  <c r="AG203" i="16" s="1"/>
  <c r="AA32" i="17"/>
  <c r="AA33" i="17"/>
  <c r="AA256" i="16"/>
  <c r="AG256" i="16" s="1"/>
  <c r="AA86" i="17"/>
  <c r="AA414" i="16"/>
  <c r="AG414" i="16" s="1"/>
  <c r="AA418" i="16"/>
  <c r="AA112" i="16"/>
  <c r="AG112" i="16" s="1"/>
  <c r="AA174" i="16"/>
  <c r="AG174" i="16" s="1"/>
  <c r="AA180" i="16"/>
  <c r="AG180" i="16" s="1"/>
  <c r="AA20" i="17"/>
  <c r="AA21" i="17"/>
  <c r="AA217" i="16"/>
  <c r="AG217" i="16" s="1"/>
  <c r="AA46" i="17"/>
  <c r="AA51" i="17"/>
  <c r="AA76" i="16"/>
  <c r="L76" i="21" s="1"/>
  <c r="O76" i="21" s="1"/>
  <c r="AA65" i="17"/>
  <c r="AA103" i="16"/>
  <c r="AG103" i="16" s="1"/>
  <c r="AA13" i="17"/>
  <c r="AA229" i="16"/>
  <c r="AG229" i="16" s="1"/>
  <c r="AA230" i="16"/>
  <c r="AG230" i="16" s="1"/>
  <c r="AA236" i="16"/>
  <c r="AG236" i="16" s="1"/>
  <c r="AA200" i="16"/>
  <c r="AG200" i="16" s="1"/>
  <c r="AA196" i="16"/>
  <c r="AG196" i="16" s="1"/>
  <c r="AA34" i="17"/>
  <c r="AA394" i="16"/>
  <c r="AG394" i="16" s="1"/>
  <c r="AA340" i="16"/>
  <c r="AG340" i="16" s="1"/>
  <c r="AA273" i="16"/>
  <c r="AG273" i="16" s="1"/>
  <c r="AA100" i="17"/>
  <c r="AA407" i="16"/>
  <c r="L407" i="21" s="1"/>
  <c r="O407" i="21" s="1"/>
  <c r="AA190" i="16"/>
  <c r="AG190" i="16" s="1"/>
  <c r="AA188" i="16"/>
  <c r="AG188" i="16" s="1"/>
  <c r="AA128" i="16"/>
  <c r="L128" i="21" s="1"/>
  <c r="O128" i="21" s="1"/>
  <c r="AA223" i="16"/>
  <c r="AG223" i="16" s="1"/>
  <c r="AA218" i="16"/>
  <c r="AG218" i="16" s="1"/>
  <c r="AA3" i="16"/>
  <c r="AG3" i="16" s="1"/>
  <c r="U28" i="24"/>
  <c r="U71" i="24" s="1"/>
  <c r="U26" i="24"/>
  <c r="U69" i="24" s="1"/>
  <c r="U10" i="24"/>
  <c r="U53" i="24" s="1"/>
  <c r="U40" i="24"/>
  <c r="U83" i="24" s="1"/>
  <c r="U16" i="24"/>
  <c r="U59" i="24" s="1"/>
  <c r="U18" i="24"/>
  <c r="U61" i="24" s="1"/>
  <c r="AA288" i="16"/>
  <c r="AG288" i="16" s="1"/>
  <c r="AA264" i="16"/>
  <c r="AG264" i="16" s="1"/>
  <c r="AA275" i="16"/>
  <c r="AG275" i="16" s="1"/>
  <c r="AA88" i="17"/>
  <c r="AA97" i="17"/>
  <c r="AA130" i="16"/>
  <c r="AA173" i="16"/>
  <c r="AG173" i="16" s="1"/>
  <c r="AA283" i="16"/>
  <c r="L283" i="21" s="1"/>
  <c r="O283" i="21" s="1"/>
  <c r="AA237" i="16"/>
  <c r="AG237" i="16" s="1"/>
  <c r="AA244" i="16"/>
  <c r="AG244" i="16" s="1"/>
  <c r="AA67" i="17"/>
  <c r="AA168" i="16"/>
  <c r="AG168" i="16" s="1"/>
  <c r="AA226" i="16"/>
  <c r="AG226" i="16" s="1"/>
  <c r="AA58" i="17"/>
  <c r="AA61" i="17"/>
  <c r="AA284" i="16"/>
  <c r="AG284" i="16" s="1"/>
  <c r="AA122" i="16"/>
  <c r="L122" i="21" s="1"/>
  <c r="O122" i="21" s="1"/>
  <c r="AA327" i="16"/>
  <c r="AG327" i="16" s="1"/>
  <c r="AA341" i="16"/>
  <c r="AG341" i="16" s="1"/>
  <c r="AA318" i="16"/>
  <c r="AG318" i="16" s="1"/>
  <c r="AA304" i="16"/>
  <c r="AG304" i="16" s="1"/>
  <c r="AA368" i="16"/>
  <c r="AG368" i="16" s="1"/>
  <c r="AA329" i="16"/>
  <c r="AG329" i="16" s="1"/>
  <c r="AA393" i="16"/>
  <c r="L393" i="21" s="1"/>
  <c r="O393" i="21" s="1"/>
  <c r="AA354" i="16"/>
  <c r="AG354" i="16" s="1"/>
  <c r="AA315" i="16"/>
  <c r="AG315" i="16" s="1"/>
  <c r="AA387" i="16"/>
  <c r="AG387" i="16" s="1"/>
  <c r="AA356" i="16"/>
  <c r="AG356" i="16" s="1"/>
  <c r="AA269" i="16"/>
  <c r="AG269" i="16" s="1"/>
  <c r="AA254" i="16"/>
  <c r="AG254" i="16" s="1"/>
  <c r="AA241" i="16"/>
  <c r="AG241" i="16" s="1"/>
  <c r="AA266" i="16"/>
  <c r="AG266" i="16" s="1"/>
  <c r="AA252" i="16"/>
  <c r="AG252" i="16" s="1"/>
  <c r="AA76" i="17"/>
  <c r="AA92" i="17"/>
  <c r="AA69" i="17"/>
  <c r="AA85" i="17"/>
  <c r="AA101" i="17"/>
  <c r="AA109" i="16"/>
  <c r="L109" i="21" s="1"/>
  <c r="O109" i="21" s="1"/>
  <c r="AA107" i="16"/>
  <c r="L107" i="21" s="1"/>
  <c r="O107" i="21" s="1"/>
  <c r="AA182" i="16"/>
  <c r="AG182" i="16" s="1"/>
  <c r="AA186" i="16"/>
  <c r="AG186" i="16" s="1"/>
  <c r="AA10" i="17"/>
  <c r="AA7" i="17"/>
  <c r="AA127" i="16"/>
  <c r="AG127" i="16" s="1"/>
  <c r="AA131" i="16"/>
  <c r="AA402" i="16"/>
  <c r="AG402" i="16" s="1"/>
  <c r="AA292" i="16"/>
  <c r="AG292" i="16" s="1"/>
  <c r="AA209" i="16"/>
  <c r="AG209" i="16" s="1"/>
  <c r="AA38" i="17"/>
  <c r="AA39" i="17"/>
  <c r="AA278" i="16"/>
  <c r="AG278" i="16" s="1"/>
  <c r="AA151" i="16"/>
  <c r="AG151" i="16" s="1"/>
  <c r="AA145" i="16"/>
  <c r="AG145" i="16" s="1"/>
  <c r="AA163" i="16"/>
  <c r="AG163" i="16" s="1"/>
  <c r="AA35" i="16"/>
  <c r="L35" i="21" s="1"/>
  <c r="O35" i="21" s="1"/>
  <c r="AA27" i="16"/>
  <c r="AG27" i="16" s="1"/>
  <c r="AA69" i="16"/>
  <c r="L69" i="21" s="1"/>
  <c r="O69" i="21" s="1"/>
  <c r="AA110" i="17"/>
  <c r="AA112" i="17"/>
  <c r="AA382" i="16"/>
  <c r="AG382" i="16" s="1"/>
  <c r="AA238" i="16"/>
  <c r="AG238" i="16" s="1"/>
  <c r="AA104" i="17"/>
  <c r="AA258" i="16"/>
  <c r="AG258" i="16" s="1"/>
  <c r="AA99" i="17"/>
  <c r="AA123" i="16"/>
  <c r="AG123" i="16" s="1"/>
  <c r="AA115" i="16"/>
  <c r="AG115" i="16" s="1"/>
  <c r="AA323" i="16"/>
  <c r="AG323" i="16" s="1"/>
  <c r="AA364" i="16"/>
  <c r="AG364" i="16" s="1"/>
  <c r="AA262" i="16"/>
  <c r="AG262" i="16" s="1"/>
  <c r="AA260" i="16"/>
  <c r="AG260" i="16" s="1"/>
  <c r="AA87" i="17"/>
  <c r="AA133" i="16"/>
  <c r="L133" i="21" s="1"/>
  <c r="O133" i="21" s="1"/>
  <c r="AA124" i="16"/>
  <c r="AG124" i="16" s="1"/>
  <c r="AA281" i="16"/>
  <c r="AG281" i="16" s="1"/>
  <c r="AA157" i="16"/>
  <c r="AG157" i="16" s="1"/>
  <c r="AA161" i="16"/>
  <c r="AA140" i="16"/>
  <c r="L140" i="21" s="1"/>
  <c r="O140" i="21" s="1"/>
  <c r="AA67" i="16"/>
  <c r="AG67" i="16" s="1"/>
  <c r="AA28" i="16"/>
  <c r="AG28" i="16" s="1"/>
  <c r="AA33" i="16"/>
  <c r="AG33" i="16" s="1"/>
  <c r="AA378" i="16"/>
  <c r="AG378" i="16" s="1"/>
  <c r="AA376" i="16"/>
  <c r="AG376" i="16" s="1"/>
  <c r="AA116" i="17"/>
  <c r="AA263" i="16"/>
  <c r="AG263" i="16" s="1"/>
  <c r="AA72" i="17"/>
  <c r="AA290" i="16"/>
  <c r="AG290" i="16" s="1"/>
  <c r="AA152" i="16"/>
  <c r="AG152" i="16" s="1"/>
  <c r="AA272" i="16"/>
  <c r="AG272" i="16" s="1"/>
  <c r="AA90" i="17"/>
  <c r="AA291" i="16"/>
  <c r="AG291" i="16" s="1"/>
  <c r="AA117" i="16"/>
  <c r="L117" i="21" s="1"/>
  <c r="O117" i="21" s="1"/>
  <c r="AA362" i="16"/>
  <c r="AG362" i="16" s="1"/>
  <c r="AA300" i="16"/>
  <c r="AG300" i="16" s="1"/>
  <c r="AA239" i="16"/>
  <c r="AG239" i="16" s="1"/>
  <c r="AA249" i="16"/>
  <c r="AG249" i="16" s="1"/>
  <c r="AA274" i="16"/>
  <c r="AG274" i="16" s="1"/>
  <c r="AA78" i="17"/>
  <c r="AA94" i="17"/>
  <c r="AA71" i="17"/>
  <c r="AA103" i="17"/>
  <c r="AA395" i="16"/>
  <c r="L395" i="21" s="1"/>
  <c r="AA231" i="16"/>
  <c r="AG231" i="16" s="1"/>
  <c r="AA227" i="16"/>
  <c r="AG227" i="16" s="1"/>
  <c r="AA62" i="17"/>
  <c r="AA119" i="16"/>
  <c r="AG119" i="16" s="1"/>
  <c r="AA116" i="16"/>
  <c r="L116" i="21" s="1"/>
  <c r="O116" i="21" s="1"/>
  <c r="AA301" i="16"/>
  <c r="AG301" i="16" s="1"/>
  <c r="AA311" i="16"/>
  <c r="AG311" i="16" s="1"/>
  <c r="AA334" i="16"/>
  <c r="AG334" i="16" s="1"/>
  <c r="AA359" i="16"/>
  <c r="AG359" i="16" s="1"/>
  <c r="AA320" i="16"/>
  <c r="AG320" i="16" s="1"/>
  <c r="AA384" i="16"/>
  <c r="AG384" i="16" s="1"/>
  <c r="AA345" i="16"/>
  <c r="AG345" i="16" s="1"/>
  <c r="AA306" i="16"/>
  <c r="AG306" i="16" s="1"/>
  <c r="AA370" i="16"/>
  <c r="L379" i="21" s="1"/>
  <c r="AA331" i="16"/>
  <c r="L331" i="21" s="1"/>
  <c r="O331" i="21" s="1"/>
  <c r="AA308" i="16"/>
  <c r="AG308" i="16" s="1"/>
  <c r="AA271" i="16"/>
  <c r="AG271" i="16" s="1"/>
  <c r="AA270" i="16"/>
  <c r="AG270" i="16" s="1"/>
  <c r="AA257" i="16"/>
  <c r="AG257" i="16" s="1"/>
  <c r="AA243" i="16"/>
  <c r="AG243" i="16" s="1"/>
  <c r="AA268" i="16"/>
  <c r="AG268" i="16" s="1"/>
  <c r="AA80" i="17"/>
  <c r="AA96" i="17"/>
  <c r="AA73" i="17"/>
  <c r="AA89" i="17"/>
  <c r="AA102" i="16"/>
  <c r="AG102" i="16" s="1"/>
  <c r="AA191" i="16"/>
  <c r="AG191" i="16" s="1"/>
  <c r="AA176" i="16"/>
  <c r="AG176" i="16" s="1"/>
  <c r="AA187" i="16"/>
  <c r="AG187" i="16" s="1"/>
  <c r="AA14" i="17"/>
  <c r="AA11" i="17"/>
  <c r="AA125" i="16"/>
  <c r="L125" i="21" s="1"/>
  <c r="O125" i="21" s="1"/>
  <c r="AA132" i="16"/>
  <c r="AG132" i="16" s="1"/>
  <c r="AA396" i="16"/>
  <c r="AG396" i="16" s="1"/>
  <c r="AA210" i="16"/>
  <c r="AG210" i="16" s="1"/>
  <c r="AA42" i="17"/>
  <c r="AA276" i="16"/>
  <c r="AG276" i="16" s="1"/>
  <c r="AA142" i="16"/>
  <c r="AG142" i="16" s="1"/>
  <c r="AA169" i="16"/>
  <c r="AG169" i="16" s="1"/>
  <c r="AA156" i="16"/>
  <c r="AG156" i="16" s="1"/>
  <c r="AA5" i="16"/>
  <c r="L5" i="21" s="1"/>
  <c r="O5" i="21" s="1"/>
  <c r="AA10" i="16"/>
  <c r="AG10" i="16" s="1"/>
  <c r="AA26" i="16"/>
  <c r="AG26" i="16" s="1"/>
  <c r="AA108" i="17"/>
  <c r="AA109" i="17"/>
  <c r="AA111" i="17"/>
  <c r="AA250" i="16"/>
  <c r="AG250" i="16" s="1"/>
  <c r="AA81" i="17"/>
  <c r="AA147" i="16"/>
  <c r="AG147" i="16" s="1"/>
  <c r="AA246" i="16"/>
  <c r="AG246" i="16" s="1"/>
  <c r="AA74" i="17"/>
  <c r="AA83" i="17"/>
  <c r="AA149" i="16"/>
  <c r="AG149" i="16" s="1"/>
  <c r="AA155" i="16"/>
  <c r="AG155" i="16" s="1"/>
  <c r="AA287" i="16"/>
  <c r="AG287" i="16" s="1"/>
  <c r="AA118" i="16"/>
  <c r="AG118" i="16" s="1"/>
  <c r="AA328" i="16"/>
  <c r="AG328" i="16" s="1"/>
  <c r="AA392" i="16"/>
  <c r="AG392" i="16" s="1"/>
  <c r="AA353" i="16"/>
  <c r="AG353" i="16" s="1"/>
  <c r="AA314" i="16"/>
  <c r="AG314" i="16" s="1"/>
  <c r="AA339" i="16"/>
  <c r="AA316" i="16"/>
  <c r="AG316" i="16" s="1"/>
  <c r="AA388" i="16"/>
  <c r="AG388" i="16" s="1"/>
  <c r="AA245" i="16"/>
  <c r="AG245" i="16" s="1"/>
  <c r="AA240" i="16"/>
  <c r="AG240" i="16" s="1"/>
  <c r="AA265" i="16"/>
  <c r="AG265" i="16" s="1"/>
  <c r="AA251" i="16"/>
  <c r="AG251" i="16" s="1"/>
  <c r="AA66" i="17"/>
  <c r="AA82" i="17"/>
  <c r="AA98" i="17"/>
  <c r="AA75" i="17"/>
  <c r="AA126" i="16"/>
  <c r="L126" i="21" s="1"/>
  <c r="O126" i="21" s="1"/>
  <c r="AA397" i="16"/>
  <c r="AG397" i="16" s="1"/>
  <c r="AA293" i="16"/>
  <c r="AG293" i="16" s="1"/>
  <c r="AA159" i="16"/>
  <c r="AG159" i="16" s="1"/>
  <c r="AA158" i="16"/>
  <c r="AG158" i="16" s="1"/>
  <c r="AA138" i="16"/>
  <c r="AG138" i="16" s="1"/>
  <c r="AA172" i="16"/>
  <c r="AG172" i="16" s="1"/>
  <c r="AA36" i="16"/>
  <c r="L36" i="21" s="1"/>
  <c r="O36" i="21" s="1"/>
  <c r="AA29" i="16"/>
  <c r="AG29" i="16" s="1"/>
  <c r="AA71" i="16"/>
  <c r="L71" i="21" s="1"/>
  <c r="O71" i="21" s="1"/>
  <c r="AA107" i="17"/>
  <c r="AA371" i="16"/>
  <c r="AG371" i="16" s="1"/>
  <c r="AA377" i="16"/>
  <c r="AG377" i="16" s="1"/>
  <c r="AA405" i="16"/>
  <c r="AG405" i="16" s="1"/>
  <c r="AA403" i="16"/>
  <c r="AG403" i="16" s="1"/>
  <c r="AA279" i="16"/>
  <c r="AG279" i="16" s="1"/>
  <c r="AA135" i="16"/>
  <c r="AG135" i="16" s="1"/>
  <c r="AA134" i="16"/>
  <c r="L267" i="21" s="1"/>
  <c r="AA160" i="16"/>
  <c r="L160" i="21" s="1"/>
  <c r="O160" i="21" s="1"/>
  <c r="AA146" i="16"/>
  <c r="L146" i="21" s="1"/>
  <c r="O146" i="21" s="1"/>
  <c r="AA171" i="16"/>
  <c r="AG171" i="16" s="1"/>
  <c r="AA11" i="16"/>
  <c r="L11" i="21" s="1"/>
  <c r="O11" i="21" s="1"/>
  <c r="AA13" i="16"/>
  <c r="AG13" i="16" s="1"/>
  <c r="AA8" i="16"/>
  <c r="L8" i="21" s="1"/>
  <c r="O8" i="21" s="1"/>
  <c r="AA66" i="16"/>
  <c r="AG66" i="16" s="1"/>
  <c r="AA70" i="16"/>
  <c r="AG70" i="16" s="1"/>
  <c r="AA406" i="16"/>
  <c r="L406" i="21" s="1"/>
  <c r="O406" i="21" s="1"/>
  <c r="AA404" i="16"/>
  <c r="AG404" i="16" s="1"/>
  <c r="AA280" i="16"/>
  <c r="L280" i="21" s="1"/>
  <c r="O280" i="21" s="1"/>
  <c r="AA141" i="16"/>
  <c r="AG141" i="16" s="1"/>
  <c r="AA150" i="16"/>
  <c r="AG150" i="16" s="1"/>
  <c r="AA137" i="16"/>
  <c r="AG137" i="16" s="1"/>
  <c r="AA162" i="16"/>
  <c r="L162" i="21" s="1"/>
  <c r="O162" i="21" s="1"/>
  <c r="AA148" i="16"/>
  <c r="AG148" i="16" s="1"/>
  <c r="AA65" i="16"/>
  <c r="L65" i="21" s="1"/>
  <c r="O65" i="21" s="1"/>
  <c r="AA72" i="16"/>
  <c r="L72" i="21" s="1"/>
  <c r="O72" i="21" s="1"/>
  <c r="AA9" i="16"/>
  <c r="AG9" i="16" s="1"/>
  <c r="AA31" i="16"/>
  <c r="AA34" i="16"/>
  <c r="AG34" i="16" s="1"/>
  <c r="AA282" i="16"/>
  <c r="AG282" i="16" s="1"/>
  <c r="AA143" i="16"/>
  <c r="AG143" i="16" s="1"/>
  <c r="AA166" i="16"/>
  <c r="AG166" i="16" s="1"/>
  <c r="AA153" i="16"/>
  <c r="AG153" i="16" s="1"/>
  <c r="AA139" i="16"/>
  <c r="AG139" i="16" s="1"/>
  <c r="AA164" i="16"/>
  <c r="AG164" i="16" s="1"/>
  <c r="AA12" i="16"/>
  <c r="L12" i="21" s="1"/>
  <c r="O12" i="21" s="1"/>
  <c r="AA38" i="16"/>
  <c r="AG38" i="16" s="1"/>
  <c r="AA2" i="16"/>
  <c r="AG2" i="16" s="1"/>
  <c r="AG131" i="16"/>
  <c r="L131" i="21"/>
  <c r="O131" i="21" s="1"/>
  <c r="AG224" i="16"/>
  <c r="L234" i="21"/>
  <c r="O234" i="21" s="1"/>
  <c r="L230" i="21"/>
  <c r="L226" i="21"/>
  <c r="L222" i="21"/>
  <c r="L218" i="21"/>
  <c r="L214" i="21"/>
  <c r="L210" i="21"/>
  <c r="L206" i="21"/>
  <c r="L202" i="21"/>
  <c r="O202" i="21" s="1"/>
  <c r="L198" i="21"/>
  <c r="L194" i="21"/>
  <c r="O194" i="21" s="1"/>
  <c r="L190" i="21"/>
  <c r="L186" i="21"/>
  <c r="L182" i="21"/>
  <c r="L178" i="21"/>
  <c r="L174" i="21"/>
  <c r="L233" i="21"/>
  <c r="L229" i="21"/>
  <c r="L225" i="21"/>
  <c r="O225" i="21" s="1"/>
  <c r="L221" i="21"/>
  <c r="L217" i="21"/>
  <c r="L213" i="21"/>
  <c r="L209" i="21"/>
  <c r="L205" i="21"/>
  <c r="L201" i="21"/>
  <c r="O201" i="21" s="1"/>
  <c r="L197" i="21"/>
  <c r="L193" i="21"/>
  <c r="L189" i="21"/>
  <c r="L185" i="21"/>
  <c r="L181" i="21"/>
  <c r="L177" i="21"/>
  <c r="L235" i="21"/>
  <c r="O235" i="21" s="1"/>
  <c r="L224" i="21"/>
  <c r="O224" i="21" s="1"/>
  <c r="L219" i="21"/>
  <c r="L208" i="21"/>
  <c r="O208" i="21" s="1"/>
  <c r="L203" i="21"/>
  <c r="L192" i="21"/>
  <c r="O192" i="21" s="1"/>
  <c r="L187" i="21"/>
  <c r="L176" i="21"/>
  <c r="L231" i="21"/>
  <c r="L223" i="21"/>
  <c r="L188" i="21"/>
  <c r="O188" i="21" s="1"/>
  <c r="L180" i="21"/>
  <c r="L220" i="21"/>
  <c r="L212" i="21"/>
  <c r="L195" i="21"/>
  <c r="L236" i="21"/>
  <c r="L228" i="21"/>
  <c r="O228" i="21" s="1"/>
  <c r="L211" i="21"/>
  <c r="O211" i="21" s="1"/>
  <c r="L227" i="21"/>
  <c r="L184" i="21"/>
  <c r="O184" i="21" s="1"/>
  <c r="L200" i="21"/>
  <c r="L183" i="21"/>
  <c r="L175" i="21"/>
  <c r="L216" i="21"/>
  <c r="O216" i="21" s="1"/>
  <c r="L199" i="21"/>
  <c r="O199" i="21" s="1"/>
  <c r="L191" i="21"/>
  <c r="L232" i="21"/>
  <c r="L215" i="21"/>
  <c r="L207" i="21"/>
  <c r="L204" i="21"/>
  <c r="O204" i="21" s="1"/>
  <c r="L196" i="21"/>
  <c r="O196" i="21" s="1"/>
  <c r="L179" i="21"/>
  <c r="L120" i="21"/>
  <c r="O120" i="21" s="1"/>
  <c r="L351" i="21"/>
  <c r="O351" i="21" s="1"/>
  <c r="AG343" i="16"/>
  <c r="AG367" i="16"/>
  <c r="L367" i="21"/>
  <c r="O367" i="21" s="1"/>
  <c r="L392" i="21"/>
  <c r="O392" i="21" s="1"/>
  <c r="AG339" i="16"/>
  <c r="L339" i="21"/>
  <c r="O339" i="21" s="1"/>
  <c r="AG133" i="16"/>
  <c r="AG401" i="16"/>
  <c r="L401" i="21"/>
  <c r="O401" i="21" s="1"/>
  <c r="AG289" i="16"/>
  <c r="L289" i="21"/>
  <c r="O289" i="21" s="1"/>
  <c r="AG136" i="16"/>
  <c r="L136" i="21"/>
  <c r="O136" i="21" s="1"/>
  <c r="AG161" i="16"/>
  <c r="L161" i="21"/>
  <c r="O161" i="21" s="1"/>
  <c r="L10" i="21"/>
  <c r="O10" i="21" s="1"/>
  <c r="L301" i="21"/>
  <c r="O301" i="21" s="1"/>
  <c r="AG113" i="16"/>
  <c r="L113" i="21"/>
  <c r="O113" i="21" s="1"/>
  <c r="L350" i="21"/>
  <c r="O350" i="21" s="1"/>
  <c r="AG336" i="16"/>
  <c r="L336" i="21"/>
  <c r="O336" i="21" s="1"/>
  <c r="AG386" i="16"/>
  <c r="L386" i="21"/>
  <c r="O386" i="21" s="1"/>
  <c r="L410" i="21"/>
  <c r="O410" i="21" s="1"/>
  <c r="L102" i="21"/>
  <c r="O102" i="21" s="1"/>
  <c r="L389" i="21"/>
  <c r="O389" i="21" s="1"/>
  <c r="AG294" i="16"/>
  <c r="L294" i="21"/>
  <c r="O294" i="21" s="1"/>
  <c r="AG121" i="16"/>
  <c r="L121" i="21"/>
  <c r="O121" i="21" s="1"/>
  <c r="L357" i="21"/>
  <c r="O357" i="21" s="1"/>
  <c r="AG344" i="16"/>
  <c r="L344" i="21"/>
  <c r="O344" i="21" s="1"/>
  <c r="L330" i="21"/>
  <c r="O330" i="21" s="1"/>
  <c r="AG355" i="16"/>
  <c r="L414" i="21"/>
  <c r="O414" i="21" s="1"/>
  <c r="AG418" i="16"/>
  <c r="L418" i="21"/>
  <c r="O418" i="21" s="1"/>
  <c r="AG165" i="16"/>
  <c r="L165" i="21"/>
  <c r="O165" i="21" s="1"/>
  <c r="L152" i="21"/>
  <c r="O152" i="21" s="1"/>
  <c r="L33" i="21"/>
  <c r="O33" i="21" s="1"/>
  <c r="L376" i="21"/>
  <c r="L380" i="21"/>
  <c r="O380" i="21" s="1"/>
  <c r="L377" i="21"/>
  <c r="L372" i="21"/>
  <c r="L378" i="21"/>
  <c r="L371" i="21"/>
  <c r="AG114" i="16"/>
  <c r="L114" i="21"/>
  <c r="O114" i="21" s="1"/>
  <c r="AG302" i="16"/>
  <c r="AG352" i="16"/>
  <c r="L313" i="21"/>
  <c r="O313" i="21" s="1"/>
  <c r="AG363" i="16"/>
  <c r="L363" i="21"/>
  <c r="O363" i="21" s="1"/>
  <c r="AG332" i="16"/>
  <c r="L332" i="21"/>
  <c r="O332" i="21" s="1"/>
  <c r="AG411" i="16"/>
  <c r="AG104" i="16"/>
  <c r="L104" i="21"/>
  <c r="O104" i="21" s="1"/>
  <c r="L405" i="21"/>
  <c r="O405" i="21" s="1"/>
  <c r="AG134" i="16"/>
  <c r="L271" i="21"/>
  <c r="L266" i="21"/>
  <c r="L258" i="21"/>
  <c r="L263" i="21"/>
  <c r="L255" i="21"/>
  <c r="L269" i="21"/>
  <c r="L260" i="21"/>
  <c r="L261" i="21"/>
  <c r="O261" i="21" s="1"/>
  <c r="L265" i="21"/>
  <c r="L257" i="21"/>
  <c r="AG160" i="16"/>
  <c r="L70" i="21"/>
  <c r="O70" i="21" s="1"/>
  <c r="L309" i="21"/>
  <c r="O309" i="21" s="1"/>
  <c r="AG360" i="16"/>
  <c r="L360" i="21"/>
  <c r="O360" i="21" s="1"/>
  <c r="AG129" i="16"/>
  <c r="L129" i="21"/>
  <c r="O129" i="21" s="1"/>
  <c r="L398" i="21"/>
  <c r="O398" i="21" s="1"/>
  <c r="L278" i="21"/>
  <c r="O278" i="21" s="1"/>
  <c r="L168" i="21"/>
  <c r="O168" i="21" s="1"/>
  <c r="AG30" i="16"/>
  <c r="L74" i="21"/>
  <c r="O74" i="21" s="1"/>
  <c r="AG12" i="16"/>
  <c r="AG117" i="16"/>
  <c r="L115" i="21"/>
  <c r="O115" i="21" s="1"/>
  <c r="L318" i="21"/>
  <c r="O318" i="21" s="1"/>
  <c r="AG130" i="16"/>
  <c r="L130" i="21"/>
  <c r="O130" i="21" s="1"/>
  <c r="AG406" i="16"/>
  <c r="AG65" i="16"/>
  <c r="AG31" i="16"/>
  <c r="L31" i="21"/>
  <c r="O31" i="21" s="1"/>
  <c r="AG326" i="16"/>
  <c r="L326" i="21"/>
  <c r="O326" i="21" s="1"/>
  <c r="AG312" i="16"/>
  <c r="AG298" i="16"/>
  <c r="L298" i="21"/>
  <c r="O298" i="21" s="1"/>
  <c r="AG416" i="16"/>
  <c r="L416" i="21"/>
  <c r="O416" i="21" s="1"/>
  <c r="AG399" i="16"/>
  <c r="L399" i="21"/>
  <c r="O399" i="21" s="1"/>
  <c r="L145" i="21"/>
  <c r="O145" i="21" s="1"/>
  <c r="AG170" i="16"/>
  <c r="L170" i="21"/>
  <c r="O170" i="21" s="1"/>
  <c r="AG4" i="16"/>
  <c r="L4" i="21"/>
  <c r="O4" i="21" s="1"/>
  <c r="AG6" i="16"/>
  <c r="L6" i="21"/>
  <c r="O6" i="21" s="1"/>
  <c r="AG68" i="16"/>
  <c r="L68" i="21"/>
  <c r="O68" i="21" s="1"/>
  <c r="AG71" i="16"/>
  <c r="AB46" i="13"/>
  <c r="AB46" i="12"/>
  <c r="AB46" i="11"/>
  <c r="AB46" i="10"/>
  <c r="X44" i="13"/>
  <c r="Y5" i="13"/>
  <c r="Y5" i="12"/>
  <c r="X44" i="12"/>
  <c r="L288" i="21" l="1"/>
  <c r="O288" i="21" s="1"/>
  <c r="O206" i="21"/>
  <c r="L384" i="21"/>
  <c r="O384" i="21" s="1"/>
  <c r="O210" i="21"/>
  <c r="O371" i="21"/>
  <c r="L385" i="21"/>
  <c r="O385" i="21" s="1"/>
  <c r="L383" i="21"/>
  <c r="O383" i="21" s="1"/>
  <c r="AG317" i="16"/>
  <c r="L154" i="21"/>
  <c r="O154" i="21" s="1"/>
  <c r="O218" i="21"/>
  <c r="L354" i="21"/>
  <c r="O354" i="21" s="1"/>
  <c r="L327" i="21"/>
  <c r="O327" i="21" s="1"/>
  <c r="L345" i="21"/>
  <c r="O345" i="21" s="1"/>
  <c r="L391" i="21"/>
  <c r="O391" i="21" s="1"/>
  <c r="AG69" i="16"/>
  <c r="L124" i="21"/>
  <c r="O124" i="21" s="1"/>
  <c r="L348" i="21"/>
  <c r="O348" i="21" s="1"/>
  <c r="L119" i="21"/>
  <c r="O119" i="21" s="1"/>
  <c r="L108" i="21"/>
  <c r="O108" i="21" s="1"/>
  <c r="L3" i="21"/>
  <c r="O3" i="21" s="1"/>
  <c r="L322" i="21"/>
  <c r="O322" i="21" s="1"/>
  <c r="AG297" i="16"/>
  <c r="K9" i="26"/>
  <c r="M9" i="26" s="1"/>
  <c r="L157" i="21"/>
  <c r="O157" i="21" s="1"/>
  <c r="L27" i="21"/>
  <c r="O27" i="21" s="1"/>
  <c r="AG122" i="16"/>
  <c r="L127" i="21"/>
  <c r="O127" i="21" s="1"/>
  <c r="L323" i="21"/>
  <c r="O323" i="21" s="1"/>
  <c r="AG162" i="16"/>
  <c r="AG167" i="16"/>
  <c r="L28" i="21"/>
  <c r="O28" i="21" s="1"/>
  <c r="L135" i="21"/>
  <c r="O135" i="21" s="1"/>
  <c r="L358" i="21"/>
  <c r="O358" i="21" s="1"/>
  <c r="L2" i="21"/>
  <c r="O2" i="21" s="1"/>
  <c r="L340" i="21"/>
  <c r="O340" i="21" s="1"/>
  <c r="O271" i="21"/>
  <c r="AG319" i="16"/>
  <c r="O195" i="21"/>
  <c r="O213" i="21"/>
  <c r="O182" i="21"/>
  <c r="O214" i="21"/>
  <c r="AG76" i="16"/>
  <c r="O180" i="21"/>
  <c r="L325" i="21"/>
  <c r="O325" i="21" s="1"/>
  <c r="L338" i="21"/>
  <c r="O338" i="21" s="1"/>
  <c r="L409" i="21"/>
  <c r="O409" i="21" s="1"/>
  <c r="AG324" i="16"/>
  <c r="L106" i="21"/>
  <c r="O106" i="21" s="1"/>
  <c r="L310" i="21"/>
  <c r="O310" i="21" s="1"/>
  <c r="L335" i="21"/>
  <c r="O335" i="21" s="1"/>
  <c r="L29" i="21"/>
  <c r="O29" i="21" s="1"/>
  <c r="O220" i="21"/>
  <c r="L105" i="21"/>
  <c r="O105" i="21" s="1"/>
  <c r="L412" i="21"/>
  <c r="O412" i="21" s="1"/>
  <c r="L37" i="21"/>
  <c r="O37" i="21" s="1"/>
  <c r="L394" i="21"/>
  <c r="O394" i="21" s="1"/>
  <c r="L7" i="21"/>
  <c r="O7" i="21" s="1"/>
  <c r="L285" i="21"/>
  <c r="O285" i="21" s="1"/>
  <c r="O223" i="21"/>
  <c r="O233" i="21"/>
  <c r="O258" i="21"/>
  <c r="AG126" i="16"/>
  <c r="AG286" i="16"/>
  <c r="O174" i="21"/>
  <c r="AG5" i="16"/>
  <c r="O209" i="21"/>
  <c r="AG393" i="16"/>
  <c r="O179" i="21"/>
  <c r="O236" i="21"/>
  <c r="O176" i="21"/>
  <c r="O177" i="21"/>
  <c r="O178" i="21"/>
  <c r="O379" i="21"/>
  <c r="O269" i="21"/>
  <c r="L369" i="21"/>
  <c r="O369" i="21" s="1"/>
  <c r="L67" i="21"/>
  <c r="O67" i="21" s="1"/>
  <c r="O183" i="21"/>
  <c r="L150" i="21"/>
  <c r="O150" i="21" s="1"/>
  <c r="AG101" i="16"/>
  <c r="L346" i="21"/>
  <c r="O346" i="21" s="1"/>
  <c r="AG8" i="16"/>
  <c r="O255" i="21"/>
  <c r="AG128" i="16"/>
  <c r="L299" i="21"/>
  <c r="O299" i="21" s="1"/>
  <c r="O372" i="21"/>
  <c r="AG277" i="16"/>
  <c r="L349" i="21"/>
  <c r="O349" i="21" s="1"/>
  <c r="L151" i="21"/>
  <c r="O151" i="21" s="1"/>
  <c r="L314" i="21"/>
  <c r="O314" i="21" s="1"/>
  <c r="O200" i="21"/>
  <c r="O203" i="21"/>
  <c r="O221" i="21"/>
  <c r="O190" i="21"/>
  <c r="AG116" i="16"/>
  <c r="K11" i="26"/>
  <c r="M11" i="26" s="1"/>
  <c r="O212" i="21"/>
  <c r="L34" i="21"/>
  <c r="O34" i="21" s="1"/>
  <c r="L141" i="21"/>
  <c r="O141" i="21" s="1"/>
  <c r="AG146" i="16"/>
  <c r="O377" i="21"/>
  <c r="L291" i="21"/>
  <c r="O291" i="21" s="1"/>
  <c r="AG305" i="16"/>
  <c r="L73" i="21"/>
  <c r="O73" i="21" s="1"/>
  <c r="O193" i="21"/>
  <c r="O226" i="21"/>
  <c r="O267" i="21"/>
  <c r="L159" i="21"/>
  <c r="O159" i="21" s="1"/>
  <c r="O198" i="21"/>
  <c r="L134" i="21"/>
  <c r="O134" i="21" s="1"/>
  <c r="L264" i="21"/>
  <c r="O264" i="21" s="1"/>
  <c r="L259" i="21"/>
  <c r="O259" i="21" s="1"/>
  <c r="L262" i="21"/>
  <c r="O262" i="21" s="1"/>
  <c r="L275" i="21"/>
  <c r="O275" i="21" s="1"/>
  <c r="O231" i="21"/>
  <c r="O205" i="21"/>
  <c r="L240" i="21"/>
  <c r="O240" i="21" s="1"/>
  <c r="L238" i="21"/>
  <c r="L111" i="21"/>
  <c r="O111" i="21" s="1"/>
  <c r="L353" i="21"/>
  <c r="O353" i="21" s="1"/>
  <c r="L281" i="21"/>
  <c r="O281" i="21" s="1"/>
  <c r="L356" i="21"/>
  <c r="O356" i="21" s="1"/>
  <c r="AG390" i="16"/>
  <c r="L365" i="21"/>
  <c r="O365" i="21" s="1"/>
  <c r="L359" i="21"/>
  <c r="O359" i="21" s="1"/>
  <c r="L396" i="21"/>
  <c r="O396" i="21" s="1"/>
  <c r="L296" i="21"/>
  <c r="O296" i="21" s="1"/>
  <c r="L66" i="21"/>
  <c r="O66" i="21" s="1"/>
  <c r="L249" i="21"/>
  <c r="O249" i="21" s="1"/>
  <c r="L244" i="21"/>
  <c r="O244" i="21" s="1"/>
  <c r="L239" i="21"/>
  <c r="O239" i="21" s="1"/>
  <c r="L242" i="21"/>
  <c r="O242" i="21" s="1"/>
  <c r="L270" i="21"/>
  <c r="O270" i="21" s="1"/>
  <c r="AG407" i="16"/>
  <c r="L397" i="21"/>
  <c r="O397" i="21" s="1"/>
  <c r="L290" i="21"/>
  <c r="O290" i="21" s="1"/>
  <c r="L413" i="21"/>
  <c r="O413" i="21" s="1"/>
  <c r="L361" i="21"/>
  <c r="O361" i="21" s="1"/>
  <c r="L147" i="21"/>
  <c r="O147" i="21" s="1"/>
  <c r="O185" i="21"/>
  <c r="O217" i="21"/>
  <c r="O186" i="21"/>
  <c r="L320" i="21"/>
  <c r="O320" i="21" s="1"/>
  <c r="L253" i="21"/>
  <c r="O253" i="21" s="1"/>
  <c r="L273" i="21"/>
  <c r="O273" i="21" s="1"/>
  <c r="L268" i="21"/>
  <c r="O268" i="21" s="1"/>
  <c r="L315" i="21"/>
  <c r="O315" i="21" s="1"/>
  <c r="L245" i="21"/>
  <c r="O245" i="21" s="1"/>
  <c r="L248" i="21"/>
  <c r="O248" i="21" s="1"/>
  <c r="L243" i="21"/>
  <c r="O243" i="21" s="1"/>
  <c r="L246" i="21"/>
  <c r="O246" i="21" s="1"/>
  <c r="L272" i="21"/>
  <c r="L303" i="21"/>
  <c r="O303" i="21" s="1"/>
  <c r="L333" i="21"/>
  <c r="O333" i="21" s="1"/>
  <c r="L417" i="21"/>
  <c r="O417" i="21" s="1"/>
  <c r="L241" i="21"/>
  <c r="O241" i="21" s="1"/>
  <c r="L252" i="21"/>
  <c r="O252" i="21" s="1"/>
  <c r="L247" i="21"/>
  <c r="O247" i="21" s="1"/>
  <c r="L250" i="21"/>
  <c r="O250" i="21" s="1"/>
  <c r="L274" i="21"/>
  <c r="O274" i="21" s="1"/>
  <c r="L38" i="21"/>
  <c r="O38" i="21" s="1"/>
  <c r="L132" i="21"/>
  <c r="O132" i="21" s="1"/>
  <c r="L347" i="21"/>
  <c r="O347" i="21" s="1"/>
  <c r="L328" i="21"/>
  <c r="O328" i="21" s="1"/>
  <c r="O215" i="21"/>
  <c r="L118" i="21"/>
  <c r="O118" i="21" s="1"/>
  <c r="L137" i="21"/>
  <c r="O137" i="21" s="1"/>
  <c r="L237" i="21"/>
  <c r="L256" i="21"/>
  <c r="O256" i="21" s="1"/>
  <c r="L251" i="21"/>
  <c r="O251" i="21" s="1"/>
  <c r="L254" i="21"/>
  <c r="O254" i="21" s="1"/>
  <c r="O376" i="21"/>
  <c r="O232" i="21"/>
  <c r="O227" i="21"/>
  <c r="O197" i="21"/>
  <c r="O229" i="21"/>
  <c r="L341" i="21"/>
  <c r="O341" i="21" s="1"/>
  <c r="O257" i="21"/>
  <c r="O175" i="21"/>
  <c r="O181" i="21"/>
  <c r="L366" i="21"/>
  <c r="O366" i="21" s="1"/>
  <c r="L282" i="21"/>
  <c r="O282" i="21" s="1"/>
  <c r="L293" i="21"/>
  <c r="O293" i="21" s="1"/>
  <c r="O222" i="21"/>
  <c r="AC10" i="21"/>
  <c r="K7" i="26"/>
  <c r="M7" i="26" s="1"/>
  <c r="M13" i="26" s="1"/>
  <c r="O378" i="21"/>
  <c r="L144" i="21"/>
  <c r="O144" i="21" s="1"/>
  <c r="L164" i="21"/>
  <c r="O164" i="21" s="1"/>
  <c r="O219" i="21"/>
  <c r="O230" i="21"/>
  <c r="O272" i="21"/>
  <c r="L123" i="21"/>
  <c r="O123" i="21" s="1"/>
  <c r="L387" i="21"/>
  <c r="O387" i="21" s="1"/>
  <c r="L408" i="21"/>
  <c r="O408" i="21" s="1"/>
  <c r="L26" i="21"/>
  <c r="O26" i="21" s="1"/>
  <c r="L415" i="21"/>
  <c r="O415" i="21" s="1"/>
  <c r="L321" i="21"/>
  <c r="O321" i="21" s="1"/>
  <c r="L342" i="21"/>
  <c r="O342" i="21" s="1"/>
  <c r="O191" i="21"/>
  <c r="O265" i="21"/>
  <c r="AG72" i="16"/>
  <c r="O263" i="21"/>
  <c r="L295" i="21"/>
  <c r="O295" i="21" s="1"/>
  <c r="L110" i="21"/>
  <c r="O110" i="21" s="1"/>
  <c r="L103" i="21"/>
  <c r="O103" i="21" s="1"/>
  <c r="AG331" i="16"/>
  <c r="L400" i="21"/>
  <c r="O400" i="21" s="1"/>
  <c r="L32" i="21"/>
  <c r="O32" i="21" s="1"/>
  <c r="L329" i="21"/>
  <c r="O329" i="21" s="1"/>
  <c r="L112" i="21"/>
  <c r="O112" i="21" s="1"/>
  <c r="L307" i="21"/>
  <c r="O307" i="21" s="1"/>
  <c r="L13" i="21"/>
  <c r="O13" i="21" s="1"/>
  <c r="L403" i="21"/>
  <c r="O403" i="21" s="1"/>
  <c r="L337" i="21"/>
  <c r="O337" i="21" s="1"/>
  <c r="AG140" i="16"/>
  <c r="L75" i="21"/>
  <c r="O75" i="21" s="1"/>
  <c r="L311" i="21"/>
  <c r="O311" i="21" s="1"/>
  <c r="O207" i="21"/>
  <c r="O189" i="21"/>
  <c r="O266" i="21"/>
  <c r="L155" i="21"/>
  <c r="O155" i="21" s="1"/>
  <c r="L316" i="21"/>
  <c r="O316" i="21" s="1"/>
  <c r="L368" i="21"/>
  <c r="O368" i="21" s="1"/>
  <c r="L287" i="21"/>
  <c r="O287" i="21" s="1"/>
  <c r="AG283" i="16"/>
  <c r="AG395" i="16"/>
  <c r="AC12" i="21" s="1"/>
  <c r="AG125" i="16"/>
  <c r="AG107" i="16"/>
  <c r="L158" i="21"/>
  <c r="O158" i="21" s="1"/>
  <c r="AG280" i="16"/>
  <c r="AG36" i="16"/>
  <c r="AG109" i="16"/>
  <c r="AG11" i="16"/>
  <c r="L279" i="21"/>
  <c r="O279" i="21" s="1"/>
  <c r="L381" i="21"/>
  <c r="O381" i="21" s="1"/>
  <c r="L382" i="21"/>
  <c r="O382" i="21" s="1"/>
  <c r="L163" i="21"/>
  <c r="O163" i="21" s="1"/>
  <c r="L139" i="21"/>
  <c r="O139" i="21" s="1"/>
  <c r="L169" i="21"/>
  <c r="O169" i="21" s="1"/>
  <c r="L172" i="21"/>
  <c r="O172" i="21" s="1"/>
  <c r="L149" i="21"/>
  <c r="O149" i="21" s="1"/>
  <c r="L300" i="21"/>
  <c r="O300" i="21" s="1"/>
  <c r="L362" i="21"/>
  <c r="O362" i="21" s="1"/>
  <c r="L9" i="21"/>
  <c r="O9" i="21" s="1"/>
  <c r="L404" i="21"/>
  <c r="O404" i="21" s="1"/>
  <c r="L304" i="21"/>
  <c r="O304" i="21" s="1"/>
  <c r="L166" i="21"/>
  <c r="O166" i="21" s="1"/>
  <c r="L142" i="21"/>
  <c r="O142" i="21" s="1"/>
  <c r="L284" i="21"/>
  <c r="O284" i="21" s="1"/>
  <c r="L364" i="21"/>
  <c r="O364" i="21" s="1"/>
  <c r="L373" i="21"/>
  <c r="O373" i="21" s="1"/>
  <c r="AG370" i="16"/>
  <c r="O238" i="21"/>
  <c r="AP4" i="16"/>
  <c r="AQ4" i="16" s="1"/>
  <c r="L374" i="21"/>
  <c r="O374" i="21" s="1"/>
  <c r="AG35" i="16"/>
  <c r="L292" i="21"/>
  <c r="O292" i="21" s="1"/>
  <c r="L370" i="21"/>
  <c r="O370" i="21" s="1"/>
  <c r="L334" i="21"/>
  <c r="O334" i="21" s="1"/>
  <c r="L138" i="21"/>
  <c r="O138" i="21" s="1"/>
  <c r="L388" i="21"/>
  <c r="O388" i="21" s="1"/>
  <c r="L402" i="21"/>
  <c r="O402" i="21" s="1"/>
  <c r="L306" i="21"/>
  <c r="O306" i="21" s="1"/>
  <c r="L276" i="21"/>
  <c r="O276" i="21" s="1"/>
  <c r="L308" i="21"/>
  <c r="O308" i="21" s="1"/>
  <c r="L153" i="21"/>
  <c r="O153" i="21" s="1"/>
  <c r="L375" i="21"/>
  <c r="O375" i="21" s="1"/>
  <c r="L156" i="21"/>
  <c r="O156" i="21" s="1"/>
  <c r="L173" i="21"/>
  <c r="O173" i="21" s="1"/>
  <c r="O260" i="21"/>
  <c r="O187" i="21"/>
  <c r="L143" i="21"/>
  <c r="O143" i="21" s="1"/>
  <c r="L148" i="21"/>
  <c r="O148" i="21" s="1"/>
  <c r="L171" i="21"/>
  <c r="O171" i="21" s="1"/>
  <c r="AP6" i="16"/>
  <c r="AQ6" i="16" s="1"/>
  <c r="O237" i="21"/>
  <c r="AC11" i="21"/>
  <c r="O395" i="21"/>
  <c r="O101" i="21"/>
  <c r="Y44" i="12"/>
  <c r="AB5" i="12"/>
  <c r="AB44" i="12" s="1"/>
  <c r="Y44" i="13"/>
  <c r="AB5" i="13"/>
  <c r="K14" i="26" l="1"/>
  <c r="K15" i="26"/>
  <c r="G5" i="28"/>
  <c r="G10" i="28"/>
  <c r="K13" i="26"/>
  <c r="AC9" i="21"/>
  <c r="T10" i="21"/>
  <c r="AP5" i="16"/>
  <c r="AQ5" i="16" s="1"/>
  <c r="AP3" i="16"/>
  <c r="AQ3" i="16" s="1"/>
  <c r="W10" i="21"/>
  <c r="W11" i="21"/>
  <c r="T11" i="21"/>
  <c r="W12" i="21"/>
  <c r="T12" i="21"/>
  <c r="W9" i="21"/>
  <c r="T9" i="21"/>
  <c r="M15" i="26"/>
  <c r="M14" i="26"/>
  <c r="AB44" i="13"/>
  <c r="AA99" i="16"/>
  <c r="AA91" i="16"/>
  <c r="AA63" i="16"/>
  <c r="AA55" i="16"/>
  <c r="AA98" i="16"/>
  <c r="AA90" i="16"/>
  <c r="AA62" i="16"/>
  <c r="AA54" i="16"/>
  <c r="AA25" i="16"/>
  <c r="AA97" i="16"/>
  <c r="AA89" i="16"/>
  <c r="AA61" i="16"/>
  <c r="AA53" i="16"/>
  <c r="AA24" i="16"/>
  <c r="AA96" i="16"/>
  <c r="AA60" i="16"/>
  <c r="AA52" i="16"/>
  <c r="AA94" i="16"/>
  <c r="AA58" i="16"/>
  <c r="AA95" i="16"/>
  <c r="AA64" i="16"/>
  <c r="AA18" i="16"/>
  <c r="AA93" i="16"/>
  <c r="AA59" i="16"/>
  <c r="AA17" i="16"/>
  <c r="AA92" i="16"/>
  <c r="AA57" i="16"/>
  <c r="AA16" i="16"/>
  <c r="AA56" i="16"/>
  <c r="AA23" i="16"/>
  <c r="AA15" i="16"/>
  <c r="AA22" i="16"/>
  <c r="AA14" i="16"/>
  <c r="AA21" i="16"/>
  <c r="AA20" i="16"/>
  <c r="AA100" i="16"/>
  <c r="AA19" i="16"/>
  <c r="Z10" i="21" l="1"/>
  <c r="AH10" i="21" s="1"/>
  <c r="Z11" i="21"/>
  <c r="AH11" i="21" s="1"/>
  <c r="Z12" i="21"/>
  <c r="AH12" i="21" s="1"/>
  <c r="AP8" i="16"/>
  <c r="AQ8" i="16" s="1"/>
  <c r="Z9" i="21"/>
  <c r="AH9" i="21" s="1"/>
  <c r="AG21" i="16"/>
  <c r="L21" i="21"/>
  <c r="O21" i="21" s="1"/>
  <c r="AG92" i="16"/>
  <c r="L92" i="21"/>
  <c r="O92" i="21" s="1"/>
  <c r="AG94" i="16"/>
  <c r="L94" i="21"/>
  <c r="O94" i="21" s="1"/>
  <c r="AG97" i="16"/>
  <c r="L97" i="21"/>
  <c r="O97" i="21" s="1"/>
  <c r="AG91" i="16"/>
  <c r="L91" i="21"/>
  <c r="O91" i="21" s="1"/>
  <c r="AG14" i="16"/>
  <c r="L14" i="21"/>
  <c r="AG17" i="16"/>
  <c r="L17" i="21"/>
  <c r="O17" i="21" s="1"/>
  <c r="AG52" i="16"/>
  <c r="L52" i="21"/>
  <c r="O52" i="21" s="1"/>
  <c r="AG25" i="16"/>
  <c r="L25" i="21"/>
  <c r="O25" i="21" s="1"/>
  <c r="AG99" i="16"/>
  <c r="L99" i="21"/>
  <c r="O99" i="21" s="1"/>
  <c r="AG57" i="16"/>
  <c r="L57" i="21"/>
  <c r="O57" i="21" s="1"/>
  <c r="AG63" i="16"/>
  <c r="L63" i="21"/>
  <c r="O63" i="21" s="1"/>
  <c r="AG59" i="16"/>
  <c r="L59" i="21"/>
  <c r="O59" i="21" s="1"/>
  <c r="AG54" i="16"/>
  <c r="L54" i="21"/>
  <c r="O54" i="21" s="1"/>
  <c r="AG15" i="16"/>
  <c r="L15" i="21"/>
  <c r="O15" i="21" s="1"/>
  <c r="AG93" i="16"/>
  <c r="L93" i="21"/>
  <c r="O93" i="21" s="1"/>
  <c r="AG96" i="16"/>
  <c r="L96" i="21"/>
  <c r="O96" i="21" s="1"/>
  <c r="AG62" i="16"/>
  <c r="L62" i="21"/>
  <c r="O62" i="21" s="1"/>
  <c r="AG20" i="16"/>
  <c r="L20" i="21"/>
  <c r="O20" i="21" s="1"/>
  <c r="AG89" i="16"/>
  <c r="L89" i="21"/>
  <c r="O89" i="21" s="1"/>
  <c r="AG22" i="16"/>
  <c r="L22" i="21"/>
  <c r="O22" i="21" s="1"/>
  <c r="AG60" i="16"/>
  <c r="L60" i="21"/>
  <c r="O60" i="21" s="1"/>
  <c r="AG23" i="16"/>
  <c r="L23" i="21"/>
  <c r="O23" i="21" s="1"/>
  <c r="AG18" i="16"/>
  <c r="L18" i="21"/>
  <c r="O18" i="21" s="1"/>
  <c r="AG24" i="16"/>
  <c r="L24" i="21"/>
  <c r="O24" i="21" s="1"/>
  <c r="AG90" i="16"/>
  <c r="L90" i="21"/>
  <c r="O90" i="21" s="1"/>
  <c r="AG19" i="16"/>
  <c r="L19" i="21"/>
  <c r="O19" i="21" s="1"/>
  <c r="AG56" i="16"/>
  <c r="L56" i="21"/>
  <c r="O56" i="21" s="1"/>
  <c r="AG64" i="16"/>
  <c r="L64" i="21"/>
  <c r="O64" i="21" s="1"/>
  <c r="AG53" i="16"/>
  <c r="L53" i="21"/>
  <c r="O53" i="21" s="1"/>
  <c r="AG98" i="16"/>
  <c r="L98" i="21"/>
  <c r="O98" i="21" s="1"/>
  <c r="AG100" i="16"/>
  <c r="L100" i="21"/>
  <c r="O100" i="21" s="1"/>
  <c r="AG16" i="16"/>
  <c r="L16" i="21"/>
  <c r="O16" i="21" s="1"/>
  <c r="AG95" i="16"/>
  <c r="L95" i="21"/>
  <c r="O95" i="21" s="1"/>
  <c r="AG61" i="16"/>
  <c r="L61" i="21"/>
  <c r="O61" i="21" s="1"/>
  <c r="AG55" i="16"/>
  <c r="L55" i="21"/>
  <c r="O55" i="21" s="1"/>
  <c r="AG58" i="16"/>
  <c r="L58" i="21"/>
  <c r="O58" i="21" s="1"/>
  <c r="O14" i="21" l="1"/>
  <c r="W7" i="21" s="1"/>
  <c r="T7" i="21"/>
  <c r="AP2" i="16"/>
  <c r="AC7" i="21"/>
  <c r="Z7" i="21" l="1"/>
  <c r="AH7" i="21" s="1"/>
  <c r="AP7" i="16"/>
  <c r="AQ2" i="16"/>
  <c r="AQ7" i="16" l="1"/>
  <c r="AP9" i="16"/>
  <c r="AQ9" i="16" s="1"/>
  <c r="N84" i="23" l="1"/>
  <c r="N32" i="23"/>
  <c r="AM18" i="8"/>
  <c r="T18" i="8"/>
  <c r="N18" i="8"/>
  <c r="N205" i="21"/>
  <c r="K205" i="21"/>
  <c r="AM40" i="8"/>
  <c r="T40" i="8"/>
  <c r="N40" i="8"/>
  <c r="AM10" i="8"/>
  <c r="T10" i="8"/>
  <c r="N10" i="8"/>
  <c r="AF186" i="16"/>
  <c r="Z186" i="16"/>
  <c r="AM8" i="8"/>
  <c r="T8" i="8"/>
  <c r="N8" i="8"/>
  <c r="AE110" i="17"/>
  <c r="Z110" i="17"/>
  <c r="N179" i="21"/>
  <c r="K179" i="21"/>
  <c r="AL28" i="8"/>
  <c r="AJ28" i="8"/>
  <c r="AF418" i="16"/>
  <c r="AB64" i="23"/>
  <c r="AB12" i="23"/>
  <c r="N111" i="21"/>
  <c r="K111" i="21"/>
  <c r="Z418" i="16"/>
  <c r="K418" i="21"/>
  <c r="N418" i="21"/>
  <c r="M51" i="21"/>
  <c r="J51" i="21"/>
  <c r="N97" i="23"/>
  <c r="N45" i="23"/>
  <c r="AB101" i="23"/>
  <c r="AB49" i="23"/>
  <c r="N78" i="23"/>
  <c r="N26" i="23"/>
  <c r="AM51" i="9"/>
  <c r="T51" i="9"/>
  <c r="N51" i="9"/>
  <c r="AG12" i="9"/>
  <c r="AE12" i="9"/>
  <c r="AO12" i="9"/>
  <c r="AM39" i="9"/>
  <c r="T39" i="9"/>
  <c r="N39" i="9"/>
  <c r="N286" i="21"/>
  <c r="K286" i="21"/>
  <c r="N222" i="21"/>
  <c r="K222" i="21"/>
  <c r="Z111" i="16"/>
  <c r="AF111" i="16"/>
  <c r="AF66" i="16"/>
  <c r="N35" i="21"/>
  <c r="K35" i="21"/>
  <c r="N275" i="21"/>
  <c r="K275" i="21"/>
  <c r="AF26" i="9"/>
  <c r="AP26" i="9"/>
  <c r="N221" i="21"/>
  <c r="K221" i="21"/>
  <c r="AF222" i="16"/>
  <c r="Z222" i="16"/>
  <c r="AF76" i="23"/>
  <c r="AF24" i="23"/>
  <c r="AB89" i="23"/>
  <c r="AB37" i="23"/>
  <c r="N5" i="21"/>
  <c r="K5" i="21"/>
  <c r="AG78" i="23"/>
  <c r="AG26" i="23"/>
  <c r="Z66" i="16"/>
  <c r="K66" i="21"/>
  <c r="N66" i="21"/>
  <c r="N72" i="21"/>
  <c r="K72" i="21"/>
  <c r="N119" i="21"/>
  <c r="K119" i="21"/>
  <c r="AO12" i="8"/>
  <c r="AE12" i="8"/>
  <c r="AG12" i="8"/>
  <c r="N196" i="21"/>
  <c r="K196" i="21"/>
  <c r="N200" i="21"/>
  <c r="K200" i="21"/>
  <c r="AC75" i="23"/>
  <c r="AC23" i="23"/>
  <c r="AF23" i="8"/>
  <c r="AP23" i="8"/>
  <c r="AF83" i="23"/>
  <c r="AF31" i="23"/>
  <c r="AE77" i="17"/>
  <c r="Z77" i="17"/>
  <c r="AM30" i="8"/>
  <c r="T30" i="8"/>
  <c r="N30" i="8"/>
  <c r="Z5" i="16"/>
  <c r="AF5" i="16"/>
  <c r="AO37" i="8"/>
  <c r="AE37" i="8"/>
  <c r="AG37" i="8"/>
  <c r="Z286" i="16"/>
  <c r="AF286" i="16"/>
  <c r="Z72" i="16"/>
  <c r="AF72" i="16"/>
  <c r="AG10" i="21"/>
  <c r="Y10" i="21"/>
  <c r="S10" i="21"/>
  <c r="AF77" i="23"/>
  <c r="AF25" i="23"/>
  <c r="AL32" i="9"/>
  <c r="AJ32" i="9"/>
  <c r="AF249" i="16"/>
  <c r="Z249" i="16"/>
  <c r="N366" i="21"/>
  <c r="K366" i="21"/>
  <c r="AG20" i="9"/>
  <c r="AE20" i="9"/>
  <c r="AO20" i="9"/>
  <c r="U14" i="28"/>
  <c r="AM32" i="7"/>
  <c r="R14" i="28"/>
  <c r="AF40" i="9"/>
  <c r="AP40" i="9"/>
  <c r="AF185" i="16"/>
  <c r="Z185" i="16"/>
  <c r="AM41" i="9"/>
  <c r="T41" i="9"/>
  <c r="N41" i="9"/>
  <c r="AB67" i="23"/>
  <c r="AB15" i="23"/>
  <c r="N354" i="21"/>
  <c r="K354" i="21"/>
  <c r="AK26" i="9"/>
  <c r="AK26" i="6"/>
  <c r="AK26" i="7"/>
  <c r="AK26" i="8"/>
  <c r="AF47" i="9"/>
  <c r="AP47" i="9"/>
  <c r="N345" i="21"/>
  <c r="K345" i="21"/>
  <c r="M42" i="21"/>
  <c r="J42" i="21"/>
  <c r="N60" i="21"/>
  <c r="K60" i="21"/>
  <c r="Z35" i="16"/>
  <c r="AF35" i="16"/>
  <c r="N36" i="21"/>
  <c r="K36" i="21"/>
  <c r="N281" i="21"/>
  <c r="K281" i="21"/>
  <c r="AF85" i="23"/>
  <c r="AF33" i="23"/>
  <c r="N204" i="21"/>
  <c r="K204" i="21"/>
  <c r="N365" i="21"/>
  <c r="K365" i="21"/>
  <c r="AF196" i="16"/>
  <c r="Z196" i="16"/>
  <c r="AF89" i="23"/>
  <c r="AF37" i="23"/>
  <c r="AL8" i="9"/>
  <c r="AJ8" i="9"/>
  <c r="AF96" i="23"/>
  <c r="AF44" i="23"/>
  <c r="AB94" i="23"/>
  <c r="AB42" i="23"/>
  <c r="AE63" i="17"/>
  <c r="Z63" i="17"/>
  <c r="N98" i="23"/>
  <c r="N46" i="23"/>
  <c r="Y42" i="16"/>
  <c r="AE42" i="16"/>
  <c r="Z60" i="16"/>
  <c r="AF60" i="16"/>
  <c r="Z36" i="16"/>
  <c r="AF36" i="16"/>
  <c r="Z281" i="16"/>
  <c r="AF281" i="16"/>
  <c r="AB68" i="23"/>
  <c r="AB16" i="23"/>
  <c r="Z354" i="16"/>
  <c r="AF354" i="16"/>
  <c r="N123" i="21"/>
  <c r="K123" i="21"/>
  <c r="N31" i="8"/>
  <c r="T31" i="8"/>
  <c r="AM31" i="8"/>
  <c r="N6" i="21"/>
  <c r="K6" i="21"/>
  <c r="AF91" i="23"/>
  <c r="AF39" i="23"/>
  <c r="AE116" i="17"/>
  <c r="Z116" i="17"/>
  <c r="N154" i="21"/>
  <c r="K154" i="21"/>
  <c r="AF192" i="16"/>
  <c r="Z192" i="16"/>
  <c r="AG64" i="23"/>
  <c r="AG12" i="23"/>
  <c r="AE62" i="17"/>
  <c r="Z62" i="17"/>
  <c r="AF168" i="16"/>
  <c r="AF69" i="16"/>
  <c r="N203" i="21"/>
  <c r="K203" i="21"/>
  <c r="N285" i="21"/>
  <c r="K285" i="21"/>
  <c r="N324" i="21"/>
  <c r="K324" i="21"/>
  <c r="N226" i="21"/>
  <c r="K226" i="21"/>
  <c r="AF53" i="8"/>
  <c r="AG102" i="23"/>
  <c r="AG50" i="23"/>
  <c r="AF3" i="16"/>
  <c r="AF21" i="9"/>
  <c r="AP21" i="9"/>
  <c r="AE59" i="17"/>
  <c r="Z59" i="17"/>
  <c r="AL38" i="9"/>
  <c r="AJ38" i="9"/>
  <c r="N55" i="21"/>
  <c r="K55" i="21"/>
  <c r="AG10" i="9"/>
  <c r="AE10" i="9"/>
  <c r="AO10" i="9"/>
  <c r="N16" i="21"/>
  <c r="K16" i="21"/>
  <c r="Z123" i="16"/>
  <c r="AF123" i="16"/>
  <c r="N243" i="21"/>
  <c r="K243" i="21"/>
  <c r="AO16" i="8"/>
  <c r="AE16" i="8"/>
  <c r="AG16" i="8"/>
  <c r="AO19" i="9"/>
  <c r="AE19" i="9"/>
  <c r="AG19" i="9"/>
  <c r="Z16" i="16"/>
  <c r="AF16" i="16"/>
  <c r="Z119" i="16"/>
  <c r="AF119" i="16"/>
  <c r="N56" i="21"/>
  <c r="K56" i="21"/>
  <c r="AC93" i="23"/>
  <c r="AP41" i="8"/>
  <c r="AF41" i="8"/>
  <c r="AC41" i="23"/>
  <c r="AM34" i="9"/>
  <c r="T34" i="9"/>
  <c r="N34" i="9"/>
  <c r="AG41" i="9"/>
  <c r="AE41" i="9"/>
  <c r="AO41" i="9"/>
  <c r="AL32" i="8"/>
  <c r="AJ32" i="8"/>
  <c r="Z168" i="16"/>
  <c r="K168" i="21"/>
  <c r="N168" i="21"/>
  <c r="AG27" i="9"/>
  <c r="AE27" i="9"/>
  <c r="AO27" i="9"/>
  <c r="AC77" i="23"/>
  <c r="AC25" i="23"/>
  <c r="AF25" i="8"/>
  <c r="AP25" i="8"/>
  <c r="AL6" i="8"/>
  <c r="AJ6" i="8"/>
  <c r="AC99" i="23"/>
  <c r="AC47" i="23"/>
  <c r="AF47" i="8"/>
  <c r="AP47" i="8"/>
  <c r="AK29" i="8"/>
  <c r="AK29" i="9"/>
  <c r="AB71" i="23"/>
  <c r="AB19" i="23"/>
  <c r="N21" i="21"/>
  <c r="K21" i="21"/>
  <c r="AK58" i="7"/>
  <c r="AK53" i="7"/>
  <c r="Z3" i="16"/>
  <c r="K3" i="21"/>
  <c r="N3" i="21"/>
  <c r="M80" i="21"/>
  <c r="J80" i="21"/>
  <c r="AM42" i="9"/>
  <c r="T42" i="9"/>
  <c r="N42" i="9"/>
  <c r="AF232" i="16"/>
  <c r="Z232" i="16"/>
  <c r="N225" i="21"/>
  <c r="K225" i="21"/>
  <c r="N232" i="21"/>
  <c r="K232" i="21"/>
  <c r="AF257" i="16"/>
  <c r="Z257" i="16"/>
  <c r="Y51" i="16"/>
  <c r="AE51" i="16"/>
  <c r="AP35" i="8"/>
  <c r="AF35" i="8"/>
  <c r="AC35" i="23"/>
  <c r="AC87" i="23"/>
  <c r="AF29" i="9"/>
  <c r="AP29" i="9"/>
  <c r="N145" i="21"/>
  <c r="K145" i="21"/>
  <c r="AG62" i="23"/>
  <c r="AG10" i="23"/>
  <c r="AE20" i="17"/>
  <c r="Z20" i="17"/>
  <c r="AO6" i="9"/>
  <c r="AE6" i="9"/>
  <c r="AG6" i="9"/>
  <c r="N229" i="21"/>
  <c r="K229" i="21"/>
  <c r="AC94" i="23"/>
  <c r="AP42" i="8"/>
  <c r="AF42" i="8"/>
  <c r="AC42" i="23"/>
  <c r="Z69" i="16"/>
  <c r="K69" i="21"/>
  <c r="N69" i="21"/>
  <c r="AF241" i="16"/>
  <c r="Z241" i="16"/>
  <c r="AG84" i="23"/>
  <c r="AG32" i="23"/>
  <c r="AK29" i="6"/>
  <c r="AK29" i="7"/>
  <c r="AG29" i="23"/>
  <c r="AG81" i="23"/>
  <c r="N172" i="21"/>
  <c r="K172" i="21"/>
  <c r="N176" i="21"/>
  <c r="K176" i="21"/>
  <c r="AF201" i="16"/>
  <c r="Z201" i="16"/>
  <c r="N131" i="21"/>
  <c r="K131" i="21"/>
  <c r="AE24" i="16"/>
  <c r="AF64" i="23"/>
  <c r="AF12" i="23"/>
  <c r="N316" i="21"/>
  <c r="K316" i="21"/>
  <c r="T53" i="8"/>
  <c r="AM5" i="8"/>
  <c r="T5" i="8"/>
  <c r="N5" i="8"/>
  <c r="N194" i="21"/>
  <c r="K194" i="21"/>
  <c r="AL14" i="9"/>
  <c r="AJ14" i="9"/>
  <c r="AF142" i="16"/>
  <c r="N70" i="23"/>
  <c r="N18" i="23"/>
  <c r="AK6" i="9"/>
  <c r="AK6" i="8"/>
  <c r="AO37" i="9"/>
  <c r="AE37" i="9"/>
  <c r="AG37" i="9"/>
  <c r="N73" i="21"/>
  <c r="K73" i="21"/>
  <c r="AO38" i="9"/>
  <c r="AE38" i="9"/>
  <c r="AG38" i="9"/>
  <c r="AF51" i="9"/>
  <c r="AP51" i="9"/>
  <c r="N325" i="21"/>
  <c r="K325" i="21"/>
  <c r="N415" i="21"/>
  <c r="K415" i="21"/>
  <c r="N250" i="21"/>
  <c r="K250" i="21"/>
  <c r="N211" i="21"/>
  <c r="K211" i="21"/>
  <c r="AF9" i="16"/>
  <c r="N371" i="21"/>
  <c r="K371" i="21"/>
  <c r="N79" i="23"/>
  <c r="N27" i="23"/>
  <c r="AF208" i="16"/>
  <c r="Z208" i="16"/>
  <c r="N75" i="21"/>
  <c r="K75" i="21"/>
  <c r="AF383" i="16"/>
  <c r="AK10" i="9"/>
  <c r="AK10" i="7"/>
  <c r="AK10" i="8"/>
  <c r="AF398" i="16"/>
  <c r="N247" i="21"/>
  <c r="K247" i="21"/>
  <c r="AF183" i="16"/>
  <c r="Z183" i="16"/>
  <c r="AM40" i="9"/>
  <c r="T40" i="9"/>
  <c r="N40" i="9"/>
  <c r="R13" i="28"/>
  <c r="AM31" i="7"/>
  <c r="U13" i="28"/>
  <c r="Z142" i="16"/>
  <c r="K142" i="21"/>
  <c r="N142" i="21"/>
  <c r="N66" i="23"/>
  <c r="N14" i="23"/>
  <c r="AF115" i="16"/>
  <c r="Z345" i="16"/>
  <c r="AF345" i="16"/>
  <c r="AK6" i="7"/>
  <c r="AG6" i="23"/>
  <c r="AG58" i="23"/>
  <c r="N381" i="21"/>
  <c r="K381" i="21"/>
  <c r="AF182" i="16"/>
  <c r="Z182" i="16"/>
  <c r="Z154" i="16"/>
  <c r="AF154" i="16"/>
  <c r="AC67" i="23"/>
  <c r="AC15" i="23"/>
  <c r="AF15" i="8"/>
  <c r="AP15" i="8"/>
  <c r="N83" i="23"/>
  <c r="N31" i="23"/>
  <c r="AG34" i="9"/>
  <c r="AE34" i="9"/>
  <c r="AO34" i="9"/>
  <c r="AF71" i="23"/>
  <c r="AF19" i="23"/>
  <c r="N102" i="21"/>
  <c r="K102" i="21"/>
  <c r="AE19" i="17"/>
  <c r="Z19" i="17"/>
  <c r="AG7" i="21"/>
  <c r="Y7" i="21"/>
  <c r="S7" i="21"/>
  <c r="N136" i="21"/>
  <c r="K136" i="21"/>
  <c r="AF73" i="23"/>
  <c r="AF21" i="23"/>
  <c r="N215" i="21"/>
  <c r="K215" i="21"/>
  <c r="N306" i="21"/>
  <c r="K306" i="21"/>
  <c r="N304" i="21"/>
  <c r="K304" i="21"/>
  <c r="N58" i="7"/>
  <c r="N53" i="7"/>
  <c r="AK32" i="9"/>
  <c r="AK32" i="6"/>
  <c r="AK32" i="7"/>
  <c r="AK32" i="8"/>
  <c r="N184" i="21"/>
  <c r="K184" i="21"/>
  <c r="Z145" i="16"/>
  <c r="AF145" i="16"/>
  <c r="S13" i="25"/>
  <c r="S7" i="25"/>
  <c r="Z398" i="16"/>
  <c r="K398" i="21"/>
  <c r="N398" i="21"/>
  <c r="AL40" i="9"/>
  <c r="AJ40" i="9"/>
  <c r="AF358" i="16"/>
  <c r="AM45" i="9"/>
  <c r="T45" i="9"/>
  <c r="N45" i="9"/>
  <c r="AF67" i="16"/>
  <c r="AL39" i="8"/>
  <c r="AJ39" i="8"/>
  <c r="M15" i="21"/>
  <c r="J15" i="21"/>
  <c r="Z115" i="16"/>
  <c r="K115" i="21"/>
  <c r="N115" i="21"/>
  <c r="AM49" i="9"/>
  <c r="T49" i="9"/>
  <c r="N49" i="9"/>
  <c r="N63" i="21"/>
  <c r="K63" i="21"/>
  <c r="D49" i="5"/>
  <c r="D48" i="5"/>
  <c r="H48" i="5"/>
  <c r="AM30" i="9"/>
  <c r="T30" i="9"/>
  <c r="N30" i="9"/>
  <c r="N195" i="21"/>
  <c r="K195" i="21"/>
  <c r="M87" i="21"/>
  <c r="J87" i="21"/>
  <c r="AF7" i="16"/>
  <c r="AM15" i="9"/>
  <c r="T15" i="9"/>
  <c r="N15" i="9"/>
  <c r="M46" i="21"/>
  <c r="J46" i="21"/>
  <c r="Z366" i="16"/>
  <c r="AF366" i="16"/>
  <c r="AL31" i="9"/>
  <c r="AJ31" i="9"/>
  <c r="AO42" i="8"/>
  <c r="AE42" i="8"/>
  <c r="AG42" i="8"/>
  <c r="AE8" i="17"/>
  <c r="Z8" i="17"/>
  <c r="Z365" i="16"/>
  <c r="AF365" i="16"/>
  <c r="AL38" i="8"/>
  <c r="AJ38" i="8"/>
  <c r="AF266" i="16"/>
  <c r="Z266" i="16"/>
  <c r="AF36" i="9"/>
  <c r="AP36" i="9"/>
  <c r="N68" i="23"/>
  <c r="N16" i="23"/>
  <c r="AF66" i="23"/>
  <c r="AF14" i="23"/>
  <c r="Z56" i="16"/>
  <c r="AF56" i="16"/>
  <c r="AL34" i="8"/>
  <c r="AJ34" i="8"/>
  <c r="AF156" i="16"/>
  <c r="N34" i="21"/>
  <c r="K34" i="21"/>
  <c r="AM27" i="8"/>
  <c r="T27" i="8"/>
  <c r="N27" i="8"/>
  <c r="AK23" i="8"/>
  <c r="AK23" i="9"/>
  <c r="AF45" i="9"/>
  <c r="AP45" i="9"/>
  <c r="AF363" i="16"/>
  <c r="AF92" i="23"/>
  <c r="AF40" i="23"/>
  <c r="Z172" i="16"/>
  <c r="AF172" i="16"/>
  <c r="Z21" i="16"/>
  <c r="AF21" i="16"/>
  <c r="Z63" i="16"/>
  <c r="AF63" i="16"/>
  <c r="AF223" i="16"/>
  <c r="Z223" i="16"/>
  <c r="M9" i="21"/>
  <c r="J9" i="21"/>
  <c r="Y87" i="16"/>
  <c r="AE87" i="16"/>
  <c r="AF129" i="16"/>
  <c r="AF269" i="16"/>
  <c r="Z269" i="16"/>
  <c r="AF15" i="9"/>
  <c r="AP15" i="9"/>
  <c r="AE92" i="17"/>
  <c r="Z92" i="17"/>
  <c r="AF372" i="16"/>
  <c r="Z372" i="16"/>
  <c r="Z383" i="16"/>
  <c r="K383" i="21"/>
  <c r="N383" i="21"/>
  <c r="AO15" i="8"/>
  <c r="AE15" i="8"/>
  <c r="AG15" i="8"/>
  <c r="Z6" i="16"/>
  <c r="AF6" i="16"/>
  <c r="AK12" i="9"/>
  <c r="AK12" i="6"/>
  <c r="AK12" i="7"/>
  <c r="AK12" i="8"/>
  <c r="AE24" i="17"/>
  <c r="Z24" i="17"/>
  <c r="U22" i="28"/>
  <c r="AM38" i="7"/>
  <c r="R22" i="28"/>
  <c r="AF228" i="16"/>
  <c r="Z228" i="16"/>
  <c r="Z156" i="16"/>
  <c r="K156" i="21"/>
  <c r="N156" i="21"/>
  <c r="M77" i="21"/>
  <c r="J77" i="21"/>
  <c r="Z285" i="16"/>
  <c r="AF285" i="16"/>
  <c r="Z34" i="16"/>
  <c r="AF34" i="16"/>
  <c r="N96" i="23"/>
  <c r="N44" i="23"/>
  <c r="AF242" i="16"/>
  <c r="Z242" i="16"/>
  <c r="AG101" i="23"/>
  <c r="AG49" i="23"/>
  <c r="Y15" i="16"/>
  <c r="AE15" i="16"/>
  <c r="AK50" i="8"/>
  <c r="AK50" i="6"/>
  <c r="AK50" i="7"/>
  <c r="AK50" i="9"/>
  <c r="AF17" i="9"/>
  <c r="AP17" i="9"/>
  <c r="AF243" i="16"/>
  <c r="Z243" i="16"/>
  <c r="AB96" i="23"/>
  <c r="AB44" i="23"/>
  <c r="Z55" i="16"/>
  <c r="AF55" i="16"/>
  <c r="AE46" i="17"/>
  <c r="Z46" i="17"/>
  <c r="N29" i="21"/>
  <c r="K29" i="21"/>
  <c r="AF124" i="16"/>
  <c r="AF70" i="16"/>
  <c r="AF344" i="16"/>
  <c r="N102" i="23"/>
  <c r="N50" i="23"/>
  <c r="N50" i="9"/>
  <c r="T50" i="9"/>
  <c r="AM50" i="9"/>
  <c r="AL4" i="16"/>
  <c r="AK4" i="16"/>
  <c r="AP34" i="8"/>
  <c r="AF34" i="8"/>
  <c r="AC34" i="23"/>
  <c r="AC86" i="23"/>
  <c r="N333" i="21"/>
  <c r="K333" i="21"/>
  <c r="AL49" i="8"/>
  <c r="AJ49" i="8"/>
  <c r="N19" i="8"/>
  <c r="T19" i="8"/>
  <c r="AM19" i="8"/>
  <c r="N266" i="21"/>
  <c r="K266" i="21"/>
  <c r="N369" i="21"/>
  <c r="K369" i="21"/>
  <c r="N310" i="21"/>
  <c r="K310" i="21"/>
  <c r="AE97" i="17"/>
  <c r="Z97" i="17"/>
  <c r="AO49" i="8"/>
  <c r="AE49" i="8"/>
  <c r="AG49" i="8"/>
  <c r="AL27" i="9"/>
  <c r="AJ27" i="9"/>
  <c r="AE115" i="17"/>
  <c r="Z115" i="17"/>
  <c r="N128" i="21"/>
  <c r="K128" i="21"/>
  <c r="AE87" i="17"/>
  <c r="Z87" i="17"/>
  <c r="AF382" i="16"/>
  <c r="Z382" i="16"/>
  <c r="N54" i="21"/>
  <c r="K54" i="21"/>
  <c r="AE7" i="17"/>
  <c r="Z7" i="17"/>
  <c r="AG26" i="9"/>
  <c r="AE26" i="9"/>
  <c r="AO26" i="9"/>
  <c r="AL6" i="16"/>
  <c r="AK6" i="16"/>
  <c r="N401" i="21"/>
  <c r="K401" i="21"/>
  <c r="N242" i="21"/>
  <c r="K242" i="21"/>
  <c r="N233" i="21"/>
  <c r="K233" i="21"/>
  <c r="AM48" i="8"/>
  <c r="T48" i="8"/>
  <c r="N48" i="8"/>
  <c r="AE88" i="17"/>
  <c r="Z88" i="17"/>
  <c r="N106" i="21"/>
  <c r="K106" i="21"/>
  <c r="N161" i="21"/>
  <c r="K161" i="21"/>
  <c r="AF58" i="23"/>
  <c r="AF6" i="23"/>
  <c r="AG20" i="8"/>
  <c r="M8" i="21"/>
  <c r="J8" i="21"/>
  <c r="N249" i="21"/>
  <c r="K249" i="21"/>
  <c r="M49" i="21"/>
  <c r="J49" i="21"/>
  <c r="AF221" i="16"/>
  <c r="Z221" i="16"/>
  <c r="N12" i="9"/>
  <c r="T12" i="9"/>
  <c r="AM12" i="9"/>
  <c r="N208" i="21"/>
  <c r="K208" i="21"/>
  <c r="AG5" i="9"/>
  <c r="AE5" i="9"/>
  <c r="AO5" i="9"/>
  <c r="AE53" i="9"/>
  <c r="AB85" i="23"/>
  <c r="AB33" i="23"/>
  <c r="AF68" i="23"/>
  <c r="AF16" i="23"/>
  <c r="AF234" i="16"/>
  <c r="Z234" i="16"/>
  <c r="AM44" i="9"/>
  <c r="T44" i="9"/>
  <c r="N44" i="9"/>
  <c r="N108" i="21"/>
  <c r="K108" i="21"/>
  <c r="AF37" i="16"/>
  <c r="AE112" i="17"/>
  <c r="Z112" i="17"/>
  <c r="Z131" i="16"/>
  <c r="AF131" i="16"/>
  <c r="Z324" i="16"/>
  <c r="AF324" i="16"/>
  <c r="Z363" i="16"/>
  <c r="K363" i="21"/>
  <c r="N363" i="21"/>
  <c r="AF336" i="16"/>
  <c r="AF295" i="16"/>
  <c r="AK40" i="8"/>
  <c r="AK40" i="9"/>
  <c r="AF11" i="16"/>
  <c r="Y24" i="16"/>
  <c r="J24" i="21"/>
  <c r="M24" i="21"/>
  <c r="AF236" i="16"/>
  <c r="Z236" i="16"/>
  <c r="AE4" i="17"/>
  <c r="Z4" i="17"/>
  <c r="N148" i="21"/>
  <c r="K148" i="21"/>
  <c r="N53" i="8"/>
  <c r="AF157" i="16"/>
  <c r="Z67" i="16"/>
  <c r="K67" i="21"/>
  <c r="N67" i="21"/>
  <c r="AG28" i="9"/>
  <c r="AE28" i="9"/>
  <c r="AO28" i="9"/>
  <c r="N50" i="8"/>
  <c r="T50" i="8"/>
  <c r="AM50" i="8"/>
  <c r="M3" i="21"/>
  <c r="J3" i="21"/>
  <c r="AF322" i="16"/>
  <c r="Z7" i="16"/>
  <c r="K7" i="21"/>
  <c r="N7" i="21"/>
  <c r="L69" i="6"/>
  <c r="AF256" i="16"/>
  <c r="Z256" i="16"/>
  <c r="AF61" i="23"/>
  <c r="AF9" i="23"/>
  <c r="AF41" i="9"/>
  <c r="AP41" i="9"/>
  <c r="AF171" i="16"/>
  <c r="AF367" i="16"/>
  <c r="AB7" i="21"/>
  <c r="AF2" i="16"/>
  <c r="AF100" i="23"/>
  <c r="AF48" i="23"/>
  <c r="N399" i="21"/>
  <c r="K399" i="21"/>
  <c r="AF211" i="16"/>
  <c r="Z211" i="16"/>
  <c r="AE26" i="17"/>
  <c r="Z26" i="17"/>
  <c r="AP11" i="8"/>
  <c r="AF11" i="8"/>
  <c r="AC11" i="23"/>
  <c r="AC63" i="23"/>
  <c r="N384" i="21"/>
  <c r="K384" i="21"/>
  <c r="Z9" i="16"/>
  <c r="K9" i="21"/>
  <c r="N9" i="21"/>
  <c r="AF125" i="16"/>
  <c r="Y8" i="16"/>
  <c r="AE8" i="16"/>
  <c r="AL28" i="7"/>
  <c r="N192" i="21"/>
  <c r="K192" i="21"/>
  <c r="AE22" i="16"/>
  <c r="AF144" i="16"/>
  <c r="AE42" i="17"/>
  <c r="Z42" i="17"/>
  <c r="AF227" i="16"/>
  <c r="Z227" i="16"/>
  <c r="N65" i="21"/>
  <c r="K65" i="21"/>
  <c r="AE9" i="21"/>
  <c r="AE2" i="17"/>
  <c r="Z2" i="17"/>
  <c r="AM20" i="8"/>
  <c r="T20" i="8"/>
  <c r="N20" i="8"/>
  <c r="AL19" i="8"/>
  <c r="AJ19" i="8"/>
  <c r="N251" i="21"/>
  <c r="K251" i="21"/>
  <c r="AF380" i="16"/>
  <c r="Z380" i="16"/>
  <c r="AM13" i="9"/>
  <c r="T13" i="9"/>
  <c r="N13" i="9"/>
  <c r="AL29" i="9"/>
  <c r="AJ29" i="9"/>
  <c r="Z358" i="16"/>
  <c r="K358" i="21"/>
  <c r="N358" i="21"/>
  <c r="AG53" i="8"/>
  <c r="AK23" i="6"/>
  <c r="AK23" i="7"/>
  <c r="AG23" i="23"/>
  <c r="AG75" i="23"/>
  <c r="Y77" i="16"/>
  <c r="AE77" i="16"/>
  <c r="Z37" i="16"/>
  <c r="K37" i="21"/>
  <c r="N37" i="21"/>
  <c r="AO19" i="8"/>
  <c r="AE19" i="8"/>
  <c r="AG19" i="8"/>
  <c r="AK49" i="9"/>
  <c r="AK49" i="6"/>
  <c r="AK49" i="7"/>
  <c r="AK49" i="8"/>
  <c r="Z336" i="16"/>
  <c r="K336" i="21"/>
  <c r="N336" i="21"/>
  <c r="Z295" i="16"/>
  <c r="K295" i="21"/>
  <c r="N295" i="21"/>
  <c r="AL30" i="8"/>
  <c r="AJ30" i="8"/>
  <c r="AK40" i="6"/>
  <c r="AK40" i="7"/>
  <c r="AG40" i="23"/>
  <c r="AG92" i="23"/>
  <c r="Z11" i="16"/>
  <c r="K11" i="21"/>
  <c r="N11" i="21"/>
  <c r="M20" i="21"/>
  <c r="J20" i="21"/>
  <c r="N370" i="21"/>
  <c r="K370" i="21"/>
  <c r="Y80" i="16"/>
  <c r="AE80" i="16"/>
  <c r="Z148" i="16"/>
  <c r="AF148" i="16"/>
  <c r="Z157" i="16"/>
  <c r="K157" i="21"/>
  <c r="N157" i="21"/>
  <c r="AF235" i="16"/>
  <c r="Z235" i="16"/>
  <c r="AE90" i="17"/>
  <c r="Z90" i="17"/>
  <c r="AO44" i="8"/>
  <c r="AE44" i="8"/>
  <c r="AG44" i="8"/>
  <c r="AF195" i="16"/>
  <c r="Z195" i="16"/>
  <c r="AF213" i="16"/>
  <c r="Z213" i="16"/>
  <c r="E15" i="28"/>
  <c r="AM9" i="7"/>
  <c r="H15" i="28"/>
  <c r="AL3" i="16"/>
  <c r="Z322" i="16"/>
  <c r="K322" i="21"/>
  <c r="N322" i="21"/>
  <c r="N170" i="21"/>
  <c r="K170" i="21"/>
  <c r="AF16" i="9"/>
  <c r="AP16" i="9"/>
  <c r="AF187" i="16"/>
  <c r="Z187" i="16"/>
  <c r="AF11" i="9"/>
  <c r="AP11" i="9"/>
  <c r="Z170" i="16"/>
  <c r="AF170" i="16"/>
  <c r="Z367" i="16"/>
  <c r="K367" i="21"/>
  <c r="N367" i="21"/>
  <c r="Z415" i="16"/>
  <c r="AF415" i="16"/>
  <c r="Z171" i="16"/>
  <c r="K171" i="21"/>
  <c r="N171" i="21"/>
  <c r="Z333" i="16"/>
  <c r="AF333" i="16"/>
  <c r="AL13" i="8"/>
  <c r="AJ13" i="8"/>
  <c r="AK7" i="8"/>
  <c r="AK7" i="9"/>
  <c r="AP27" i="8"/>
  <c r="AF27" i="8"/>
  <c r="AC27" i="23"/>
  <c r="AC79" i="23"/>
  <c r="N77" i="23"/>
  <c r="N25" i="23"/>
  <c r="AG80" i="23"/>
  <c r="AG28" i="23"/>
  <c r="N87" i="23"/>
  <c r="N35" i="23"/>
  <c r="AL24" i="8"/>
  <c r="AJ24" i="8"/>
  <c r="AL22" i="8"/>
  <c r="AJ22" i="8"/>
  <c r="AF140" i="16"/>
  <c r="N219" i="21"/>
  <c r="K219" i="21"/>
  <c r="AO51" i="9"/>
  <c r="AE51" i="9"/>
  <c r="AG51" i="9"/>
  <c r="AF94" i="23"/>
  <c r="AF42" i="23"/>
  <c r="Z384" i="16"/>
  <c r="AF384" i="16"/>
  <c r="AE47" i="17"/>
  <c r="Z47" i="17"/>
  <c r="AF167" i="16"/>
  <c r="N99" i="21"/>
  <c r="K99" i="21"/>
  <c r="Z125" i="16"/>
  <c r="K125" i="21"/>
  <c r="N125" i="21"/>
  <c r="AJ28" i="9"/>
  <c r="AL28" i="9"/>
  <c r="N349" i="21"/>
  <c r="K349" i="21"/>
  <c r="AF218" i="16"/>
  <c r="Z218" i="16"/>
  <c r="Y22" i="16"/>
  <c r="J22" i="21"/>
  <c r="M22" i="21"/>
  <c r="Z144" i="16"/>
  <c r="K144" i="21"/>
  <c r="N144" i="21"/>
  <c r="AO14" i="9"/>
  <c r="AE14" i="9"/>
  <c r="AG14" i="9"/>
  <c r="AC71" i="23"/>
  <c r="AC19" i="23"/>
  <c r="AF19" i="8"/>
  <c r="AP19" i="8"/>
  <c r="AE33" i="17"/>
  <c r="Z33" i="17"/>
  <c r="AM43" i="8"/>
  <c r="T43" i="8"/>
  <c r="N43" i="8"/>
  <c r="M11" i="21"/>
  <c r="J11" i="21"/>
  <c r="AM33" i="9"/>
  <c r="T33" i="9"/>
  <c r="N33" i="9"/>
  <c r="N248" i="21"/>
  <c r="K248" i="21"/>
  <c r="Z140" i="16"/>
  <c r="K140" i="21"/>
  <c r="N140" i="21"/>
  <c r="N61" i="23"/>
  <c r="N9" i="23"/>
  <c r="AF254" i="16"/>
  <c r="Z254" i="16"/>
  <c r="N240" i="21"/>
  <c r="K240" i="21"/>
  <c r="AE82" i="16"/>
  <c r="N43" i="9"/>
  <c r="T43" i="9"/>
  <c r="AM43" i="9"/>
  <c r="AF258" i="16"/>
  <c r="Z258" i="16"/>
  <c r="N26" i="8"/>
  <c r="T26" i="8"/>
  <c r="AM26" i="8"/>
  <c r="AP30" i="8"/>
  <c r="AF30" i="8"/>
  <c r="AC30" i="23"/>
  <c r="AC82" i="23"/>
  <c r="Z167" i="16"/>
  <c r="K167" i="21"/>
  <c r="N167" i="21"/>
  <c r="Z99" i="16"/>
  <c r="AF99" i="16"/>
  <c r="N309" i="21"/>
  <c r="K309" i="21"/>
  <c r="AM37" i="9"/>
  <c r="T37" i="9"/>
  <c r="N37" i="9"/>
  <c r="N372" i="21"/>
  <c r="K372" i="21"/>
  <c r="AF58" i="7"/>
  <c r="AM53" i="7"/>
  <c r="AE58" i="7"/>
  <c r="AF63" i="23"/>
  <c r="AF11" i="23"/>
  <c r="AF193" i="16"/>
  <c r="Z193" i="16"/>
  <c r="N10" i="21"/>
  <c r="K10" i="21"/>
  <c r="AF346" i="16"/>
  <c r="AM23" i="8"/>
  <c r="T23" i="8"/>
  <c r="N23" i="8"/>
  <c r="N350" i="21"/>
  <c r="K350" i="21"/>
  <c r="AF31" i="9"/>
  <c r="AP31" i="9"/>
  <c r="AL15" i="9"/>
  <c r="AJ15" i="9"/>
  <c r="AE82" i="17"/>
  <c r="Z82" i="17"/>
  <c r="N100" i="21"/>
  <c r="K100" i="21"/>
  <c r="N256" i="21"/>
  <c r="K256" i="21"/>
  <c r="Z73" i="16"/>
  <c r="AF73" i="16"/>
  <c r="Y9" i="16"/>
  <c r="AE9" i="16"/>
  <c r="Z129" i="16"/>
  <c r="K129" i="21"/>
  <c r="N129" i="21"/>
  <c r="Z102" i="16"/>
  <c r="AF102" i="16"/>
  <c r="I13" i="28"/>
  <c r="AM13" i="7"/>
  <c r="F13" i="28"/>
  <c r="AJ28" i="7"/>
  <c r="AF28" i="23"/>
  <c r="AF80" i="23"/>
  <c r="Z29" i="16"/>
  <c r="AF29" i="16"/>
  <c r="Z124" i="16"/>
  <c r="K124" i="21"/>
  <c r="N124" i="21"/>
  <c r="Z325" i="16"/>
  <c r="AF325" i="16"/>
  <c r="AL42" i="8"/>
  <c r="AJ42" i="8"/>
  <c r="D13" i="25"/>
  <c r="AK53" i="9"/>
  <c r="N8" i="9"/>
  <c r="T8" i="9"/>
  <c r="AM8" i="9"/>
  <c r="N380" i="21"/>
  <c r="K380" i="21"/>
  <c r="N187" i="21"/>
  <c r="K187" i="21"/>
  <c r="AF251" i="16"/>
  <c r="Z251" i="16"/>
  <c r="Z306" i="16"/>
  <c r="AF306" i="16"/>
  <c r="N42" i="8"/>
  <c r="T42" i="8"/>
  <c r="AM42" i="8"/>
  <c r="AF217" i="16"/>
  <c r="Z217" i="16"/>
  <c r="AF7" i="9"/>
  <c r="AP7" i="9"/>
  <c r="AF74" i="23"/>
  <c r="AF22" i="23"/>
  <c r="N98" i="21"/>
  <c r="K98" i="21"/>
  <c r="N24" i="9"/>
  <c r="T24" i="9"/>
  <c r="AM24" i="9"/>
  <c r="AP39" i="8"/>
  <c r="AF39" i="8"/>
  <c r="AC39" i="23"/>
  <c r="AC91" i="23"/>
  <c r="AF160" i="16"/>
  <c r="AF127" i="16"/>
  <c r="Y82" i="16"/>
  <c r="J82" i="21"/>
  <c r="M82" i="21"/>
  <c r="AL8" i="16"/>
  <c r="N292" i="21"/>
  <c r="K292" i="21"/>
  <c r="N395" i="21"/>
  <c r="V12" i="21"/>
  <c r="AJ12" i="21"/>
  <c r="AF219" i="16"/>
  <c r="Z219" i="16"/>
  <c r="AP28" i="8"/>
  <c r="AF28" i="8"/>
  <c r="AC28" i="23"/>
  <c r="AC80" i="23"/>
  <c r="AF348" i="16"/>
  <c r="Z316" i="16"/>
  <c r="AF316" i="16"/>
  <c r="AE86" i="16"/>
  <c r="AF371" i="16"/>
  <c r="Z371" i="16"/>
  <c r="Z309" i="16"/>
  <c r="AF309" i="16"/>
  <c r="AF121" i="16"/>
  <c r="AF293" i="16"/>
  <c r="AF297" i="16"/>
  <c r="N174" i="21"/>
  <c r="K174" i="21"/>
  <c r="AC69" i="23"/>
  <c r="AC17" i="23"/>
  <c r="AF17" i="8"/>
  <c r="AP17" i="8"/>
  <c r="Z346" i="16"/>
  <c r="K346" i="21"/>
  <c r="N346" i="21"/>
  <c r="M43" i="21"/>
  <c r="J43" i="21"/>
  <c r="AE79" i="17"/>
  <c r="Z79" i="17"/>
  <c r="AF28" i="9"/>
  <c r="AP28" i="9"/>
  <c r="AE81" i="17"/>
  <c r="Z81" i="17"/>
  <c r="AF6" i="9"/>
  <c r="AP6" i="9"/>
  <c r="AB62" i="23"/>
  <c r="AB10" i="23"/>
  <c r="N227" i="21"/>
  <c r="K227" i="21"/>
  <c r="Z3" i="17"/>
  <c r="AE3" i="17"/>
  <c r="AJ8" i="17"/>
  <c r="AL14" i="7"/>
  <c r="N202" i="21"/>
  <c r="K202" i="21"/>
  <c r="Z160" i="16"/>
  <c r="K160" i="21"/>
  <c r="N160" i="21"/>
  <c r="AF261" i="16"/>
  <c r="Z261" i="16"/>
  <c r="Z127" i="16"/>
  <c r="K127" i="21"/>
  <c r="N127" i="21"/>
  <c r="Z399" i="16"/>
  <c r="AF399" i="16"/>
  <c r="AK3" i="16"/>
  <c r="AK8" i="16"/>
  <c r="AK9" i="16"/>
  <c r="AL9" i="16"/>
  <c r="AJ53" i="8"/>
  <c r="AL5" i="8"/>
  <c r="AJ5" i="8"/>
  <c r="N21" i="8"/>
  <c r="T21" i="8"/>
  <c r="AM21" i="8"/>
  <c r="X11" i="25"/>
  <c r="D11" i="25"/>
  <c r="AF151" i="16"/>
  <c r="AF158" i="16"/>
  <c r="Z348" i="16"/>
  <c r="K348" i="21"/>
  <c r="N348" i="21"/>
  <c r="AG45" i="8"/>
  <c r="Y86" i="16"/>
  <c r="J86" i="21"/>
  <c r="M86" i="21"/>
  <c r="AF407" i="16"/>
  <c r="AK39" i="9"/>
  <c r="AK39" i="8"/>
  <c r="AB79" i="23"/>
  <c r="AB27" i="23"/>
  <c r="N300" i="21"/>
  <c r="K300" i="21"/>
  <c r="AG21" i="8"/>
  <c r="Z121" i="16"/>
  <c r="K121" i="21"/>
  <c r="N121" i="21"/>
  <c r="AE95" i="17"/>
  <c r="Z95" i="17"/>
  <c r="N255" i="21"/>
  <c r="K255" i="21"/>
  <c r="Z293" i="16"/>
  <c r="K293" i="21"/>
  <c r="N293" i="21"/>
  <c r="Z297" i="16"/>
  <c r="K297" i="21"/>
  <c r="N297" i="21"/>
  <c r="N169" i="21"/>
  <c r="K169" i="21"/>
  <c r="AL7" i="8"/>
  <c r="AJ7" i="8"/>
  <c r="N377" i="21"/>
  <c r="K377" i="21"/>
  <c r="N18" i="9"/>
  <c r="T18" i="9"/>
  <c r="AM18" i="9"/>
  <c r="AF141" i="16"/>
  <c r="AG25" i="8"/>
  <c r="AF23" i="9"/>
  <c r="AP23" i="9"/>
  <c r="N260" i="21"/>
  <c r="K260" i="21"/>
  <c r="Y3" i="16"/>
  <c r="AE3" i="16"/>
  <c r="AF79" i="23"/>
  <c r="AF27" i="23"/>
  <c r="AK7" i="7"/>
  <c r="AG7" i="23"/>
  <c r="AG59" i="23"/>
  <c r="AB69" i="23"/>
  <c r="AB17" i="23"/>
  <c r="N10" i="9"/>
  <c r="T10" i="9"/>
  <c r="AM10" i="9"/>
  <c r="Z70" i="16"/>
  <c r="K70" i="21"/>
  <c r="N70" i="21"/>
  <c r="N40" i="23"/>
  <c r="N92" i="23"/>
  <c r="D7" i="25"/>
  <c r="X7" i="25"/>
  <c r="X13" i="25"/>
  <c r="Z136" i="16"/>
  <c r="AF136" i="16"/>
  <c r="AO17" i="8"/>
  <c r="AE17" i="8"/>
  <c r="AG17" i="8"/>
  <c r="Z369" i="16"/>
  <c r="AF369" i="16"/>
  <c r="Z344" i="16"/>
  <c r="K344" i="21"/>
  <c r="N344" i="21"/>
  <c r="N335" i="21"/>
  <c r="K335" i="21"/>
  <c r="Z310" i="16"/>
  <c r="AF310" i="16"/>
  <c r="AJ14" i="7"/>
  <c r="AJ14" i="8"/>
  <c r="AL14" i="8"/>
  <c r="V14" i="25"/>
  <c r="V9" i="25"/>
  <c r="V15" i="25"/>
  <c r="Y20" i="16"/>
  <c r="AE20" i="16"/>
  <c r="Z128" i="16"/>
  <c r="AF128" i="16"/>
  <c r="AF9" i="9"/>
  <c r="AP9" i="9"/>
  <c r="Z151" i="16"/>
  <c r="K151" i="21"/>
  <c r="N151" i="21"/>
  <c r="Z158" i="16"/>
  <c r="K158" i="21"/>
  <c r="N158" i="21"/>
  <c r="AO45" i="8"/>
  <c r="AE45" i="8"/>
  <c r="AB45" i="23"/>
  <c r="AB97" i="23"/>
  <c r="S11" i="21"/>
  <c r="Y11" i="21"/>
  <c r="AG11" i="21"/>
  <c r="Z407" i="16"/>
  <c r="K407" i="21"/>
  <c r="N407" i="21"/>
  <c r="AO27" i="8"/>
  <c r="AE27" i="8"/>
  <c r="AG27" i="8"/>
  <c r="AO21" i="8"/>
  <c r="AE21" i="8"/>
  <c r="AB21" i="23"/>
  <c r="AB73" i="23"/>
  <c r="Z75" i="16"/>
  <c r="AF75" i="16"/>
  <c r="Z401" i="16"/>
  <c r="AF401" i="16"/>
  <c r="AF62" i="23"/>
  <c r="AF10" i="23"/>
  <c r="M84" i="21"/>
  <c r="J84" i="21"/>
  <c r="Z335" i="16"/>
  <c r="AF335" i="16"/>
  <c r="N269" i="21"/>
  <c r="K269" i="21"/>
  <c r="Y43" i="16"/>
  <c r="AE43" i="16"/>
  <c r="Y46" i="16"/>
  <c r="AE46" i="16"/>
  <c r="AF220" i="16"/>
  <c r="Z220" i="16"/>
  <c r="AL32" i="7"/>
  <c r="AF42" i="9"/>
  <c r="AP42" i="9"/>
  <c r="AB59" i="23"/>
  <c r="AB7" i="23"/>
  <c r="M14" i="21"/>
  <c r="J14" i="21"/>
  <c r="AG63" i="23"/>
  <c r="AG11" i="23"/>
  <c r="N96" i="21"/>
  <c r="K96" i="21"/>
  <c r="N362" i="21"/>
  <c r="K362" i="21"/>
  <c r="AO36" i="9"/>
  <c r="AE36" i="9"/>
  <c r="AG36" i="9"/>
  <c r="Z292" i="16"/>
  <c r="AF292" i="16"/>
  <c r="AO20" i="8"/>
  <c r="AE20" i="8"/>
  <c r="AB20" i="23"/>
  <c r="AB72" i="23"/>
  <c r="N212" i="21"/>
  <c r="K212" i="21"/>
  <c r="AP31" i="8"/>
  <c r="AF31" i="8"/>
  <c r="AC31" i="23"/>
  <c r="AC83" i="23"/>
  <c r="Z54" i="16"/>
  <c r="AF54" i="16"/>
  <c r="AF10" i="9"/>
  <c r="AP10" i="9"/>
  <c r="Z169" i="16"/>
  <c r="AF169" i="16"/>
  <c r="Y84" i="16"/>
  <c r="AE84" i="16"/>
  <c r="N183" i="21"/>
  <c r="K183" i="21"/>
  <c r="AB83" i="23"/>
  <c r="AB31" i="23"/>
  <c r="AG32" i="8"/>
  <c r="AF70" i="23"/>
  <c r="AF18" i="23"/>
  <c r="AO32" i="8"/>
  <c r="AE32" i="8"/>
  <c r="AB32" i="23"/>
  <c r="AB84" i="23"/>
  <c r="AE7" i="16"/>
  <c r="AC62" i="23"/>
  <c r="AP10" i="8"/>
  <c r="AF10" i="8"/>
  <c r="AC10" i="23"/>
  <c r="AF250" i="16"/>
  <c r="Z250" i="16"/>
  <c r="Y7" i="16"/>
  <c r="J7" i="21"/>
  <c r="M7" i="21"/>
  <c r="AP13" i="8"/>
  <c r="AF13" i="8"/>
  <c r="AC13" i="23"/>
  <c r="AC65" i="23"/>
  <c r="AE104" i="17"/>
  <c r="Z104" i="17"/>
  <c r="AF37" i="9"/>
  <c r="AP37" i="9"/>
  <c r="N28" i="21"/>
  <c r="K28" i="21"/>
  <c r="AM7" i="9"/>
  <c r="T7" i="9"/>
  <c r="N7" i="9"/>
  <c r="AE61" i="17"/>
  <c r="Z61" i="17"/>
  <c r="N16" i="9"/>
  <c r="T16" i="9"/>
  <c r="AM16" i="9"/>
  <c r="Z141" i="16"/>
  <c r="K141" i="21"/>
  <c r="N141" i="21"/>
  <c r="AF364" i="16"/>
  <c r="AO25" i="8"/>
  <c r="AE25" i="8"/>
  <c r="AB25" i="23"/>
  <c r="AB77" i="23"/>
  <c r="AL33" i="8"/>
  <c r="AJ33" i="8"/>
  <c r="R12" i="28"/>
  <c r="AM30" i="7"/>
  <c r="U12" i="28"/>
  <c r="AE78" i="17"/>
  <c r="Z78" i="17"/>
  <c r="AK39" i="6"/>
  <c r="AK39" i="7"/>
  <c r="AG39" i="23"/>
  <c r="AG91" i="23"/>
  <c r="AL13" i="9"/>
  <c r="AJ13" i="9"/>
  <c r="AV5" i="16"/>
  <c r="AU5" i="16"/>
  <c r="AB87" i="23"/>
  <c r="AB35" i="23"/>
  <c r="AJ32" i="7"/>
  <c r="AF32" i="23"/>
  <c r="AF84" i="23"/>
  <c r="AF377" i="16"/>
  <c r="Z377" i="16"/>
  <c r="N209" i="21"/>
  <c r="K209" i="21"/>
  <c r="AP53" i="8"/>
  <c r="AP55" i="8"/>
  <c r="AG74" i="23"/>
  <c r="AG22" i="23"/>
  <c r="N334" i="21"/>
  <c r="K334" i="21"/>
  <c r="N390" i="21"/>
  <c r="K390" i="21"/>
  <c r="M45" i="21"/>
  <c r="J45" i="21"/>
  <c r="AL44" i="8"/>
  <c r="AJ44" i="8"/>
  <c r="N65" i="6"/>
  <c r="N279" i="21"/>
  <c r="K279" i="21"/>
  <c r="M41" i="21"/>
  <c r="J41" i="21"/>
  <c r="AB92" i="23"/>
  <c r="AB40" i="23"/>
  <c r="N91" i="23"/>
  <c r="N39" i="23"/>
  <c r="Y14" i="16"/>
  <c r="AE14" i="16"/>
  <c r="AE32" i="17"/>
  <c r="Z32" i="17"/>
  <c r="AL5" i="16"/>
  <c r="AK5" i="16"/>
  <c r="AF206" i="16"/>
  <c r="Z206" i="16"/>
  <c r="AE17" i="17"/>
  <c r="Z17" i="17"/>
  <c r="N81" i="23"/>
  <c r="N29" i="23"/>
  <c r="AK37" i="9"/>
  <c r="AK37" i="8"/>
  <c r="AL44" i="7"/>
  <c r="AG70" i="23"/>
  <c r="AG18" i="23"/>
  <c r="N280" i="21"/>
  <c r="K280" i="21"/>
  <c r="AM47" i="9"/>
  <c r="T47" i="9"/>
  <c r="N47" i="9"/>
  <c r="AF378" i="16"/>
  <c r="Z378" i="16"/>
  <c r="Z364" i="16"/>
  <c r="K364" i="21"/>
  <c r="N364" i="21"/>
  <c r="AF275" i="16"/>
  <c r="Z275" i="16"/>
  <c r="AF381" i="16"/>
  <c r="Z381" i="16"/>
  <c r="AL8" i="8"/>
  <c r="AJ8" i="8"/>
  <c r="AF78" i="23"/>
  <c r="AF26" i="23"/>
  <c r="N82" i="23"/>
  <c r="N30" i="23"/>
  <c r="AL42" i="7"/>
  <c r="AF341" i="16"/>
  <c r="AF177" i="16"/>
  <c r="Z177" i="16"/>
  <c r="N185" i="21"/>
  <c r="K185" i="21"/>
  <c r="N264" i="21"/>
  <c r="K264" i="21"/>
  <c r="AF270" i="16"/>
  <c r="Z270" i="16"/>
  <c r="AF23" i="16"/>
  <c r="AE9" i="17"/>
  <c r="Z9" i="17"/>
  <c r="N14" i="21"/>
  <c r="K14" i="21"/>
  <c r="AF68" i="16"/>
  <c r="AO55" i="8"/>
  <c r="AO53" i="8"/>
  <c r="AF276" i="16"/>
  <c r="AB11" i="21"/>
  <c r="AL48" i="9"/>
  <c r="AJ48" i="9"/>
  <c r="AK37" i="6"/>
  <c r="AK37" i="7"/>
  <c r="AG37" i="23"/>
  <c r="AG89" i="23"/>
  <c r="AL12" i="9"/>
  <c r="AJ12" i="9"/>
  <c r="AJ44" i="7"/>
  <c r="AJ44" i="9"/>
  <c r="AL44" i="9"/>
  <c r="AE101" i="17"/>
  <c r="Z101" i="17"/>
  <c r="AF176" i="16"/>
  <c r="Z176" i="16"/>
  <c r="N271" i="21"/>
  <c r="K271" i="21"/>
  <c r="AE85" i="17"/>
  <c r="Z85" i="17"/>
  <c r="Z280" i="16"/>
  <c r="AF280" i="16"/>
  <c r="AE19" i="16"/>
  <c r="N238" i="21"/>
  <c r="K238" i="21"/>
  <c r="AK9" i="8"/>
  <c r="AK9" i="9"/>
  <c r="R14" i="25"/>
  <c r="R9" i="25"/>
  <c r="R15" i="25"/>
  <c r="AK28" i="8"/>
  <c r="AK28" i="6"/>
  <c r="AK28" i="7"/>
  <c r="AK28" i="9"/>
  <c r="AF374" i="16"/>
  <c r="Z374" i="16"/>
  <c r="AL45" i="8"/>
  <c r="AJ45" i="8"/>
  <c r="N239" i="21"/>
  <c r="K239" i="21"/>
  <c r="AE108" i="17"/>
  <c r="Z108" i="17"/>
  <c r="AB95" i="23"/>
  <c r="AB43" i="23"/>
  <c r="M13" i="21"/>
  <c r="J13" i="21"/>
  <c r="AF198" i="16"/>
  <c r="Z198" i="16"/>
  <c r="AG87" i="23"/>
  <c r="AG35" i="23"/>
  <c r="N323" i="21"/>
  <c r="K323" i="21"/>
  <c r="Z341" i="16"/>
  <c r="K341" i="21"/>
  <c r="N341" i="21"/>
  <c r="AL49" i="9"/>
  <c r="AJ49" i="9"/>
  <c r="AB91" i="23"/>
  <c r="AB39" i="23"/>
  <c r="N76" i="23"/>
  <c r="N24" i="23"/>
  <c r="AF387" i="16"/>
  <c r="N409" i="21"/>
  <c r="K409" i="21"/>
  <c r="M12" i="21"/>
  <c r="J12" i="21"/>
  <c r="AF101" i="23"/>
  <c r="AF49" i="23"/>
  <c r="AE109" i="17"/>
  <c r="Z109" i="17"/>
  <c r="N155" i="21"/>
  <c r="K155" i="21"/>
  <c r="Z10" i="16"/>
  <c r="AF10" i="16"/>
  <c r="N186" i="21"/>
  <c r="K186" i="21"/>
  <c r="AF165" i="16"/>
  <c r="AL36" i="8"/>
  <c r="AJ36" i="8"/>
  <c r="AK25" i="8"/>
  <c r="AK25" i="9"/>
  <c r="Z350" i="16"/>
  <c r="AF350" i="16"/>
  <c r="AF317" i="16"/>
  <c r="AF93" i="16"/>
  <c r="AK25" i="6"/>
  <c r="AK25" i="7"/>
  <c r="AG25" i="23"/>
  <c r="AG77" i="23"/>
  <c r="AK18" i="9"/>
  <c r="AK18" i="6"/>
  <c r="AK18" i="7"/>
  <c r="AK18" i="8"/>
  <c r="AL25" i="8"/>
  <c r="AJ25" i="8"/>
  <c r="AF313" i="16"/>
  <c r="AE27" i="17"/>
  <c r="Z27" i="17"/>
  <c r="AF90" i="16"/>
  <c r="AF25" i="9"/>
  <c r="AP25" i="9"/>
  <c r="AF50" i="9"/>
  <c r="AP50" i="9"/>
  <c r="Z106" i="16"/>
  <c r="AF106" i="16"/>
  <c r="AK41" i="8"/>
  <c r="AK41" i="9"/>
  <c r="Y19" i="16"/>
  <c r="J19" i="21"/>
  <c r="M19" i="21"/>
  <c r="AK9" i="7"/>
  <c r="AG9" i="23"/>
  <c r="AG61" i="23"/>
  <c r="Z28" i="16"/>
  <c r="AF28" i="16"/>
  <c r="AE30" i="17"/>
  <c r="Z30" i="17"/>
  <c r="AM27" i="7"/>
  <c r="S15" i="25"/>
  <c r="S9" i="25"/>
  <c r="S14" i="25"/>
  <c r="AF248" i="16"/>
  <c r="Z248" i="16"/>
  <c r="M17" i="21"/>
  <c r="J17" i="21"/>
  <c r="AF342" i="16"/>
  <c r="AL8" i="7"/>
  <c r="AF386" i="16"/>
  <c r="AG50" i="8"/>
  <c r="AF7" i="21"/>
  <c r="X7" i="21"/>
  <c r="R7" i="21"/>
  <c r="N284" i="21"/>
  <c r="K284" i="21"/>
  <c r="N147" i="21"/>
  <c r="K147" i="21"/>
  <c r="AK35" i="9"/>
  <c r="AK35" i="6"/>
  <c r="AK35" i="7"/>
  <c r="AK35" i="8"/>
  <c r="M4" i="21"/>
  <c r="J4" i="21"/>
  <c r="Z323" i="16"/>
  <c r="AF323" i="16"/>
  <c r="Z349" i="16"/>
  <c r="AF349" i="16"/>
  <c r="AE53" i="17"/>
  <c r="Z53" i="17"/>
  <c r="N58" i="21"/>
  <c r="K58" i="21"/>
  <c r="AE68" i="17"/>
  <c r="Z68" i="17"/>
  <c r="AL21" i="8"/>
  <c r="AJ21" i="8"/>
  <c r="Z387" i="16"/>
  <c r="K387" i="21"/>
  <c r="N387" i="21"/>
  <c r="M78" i="21"/>
  <c r="J78" i="21"/>
  <c r="N49" i="8"/>
  <c r="T49" i="8"/>
  <c r="AM49" i="8"/>
  <c r="AF315" i="16"/>
  <c r="L68" i="6"/>
  <c r="N182" i="21"/>
  <c r="K182" i="21"/>
  <c r="Z165" i="16"/>
  <c r="K165" i="21"/>
  <c r="N165" i="21"/>
  <c r="R25" i="28"/>
  <c r="R20" i="28"/>
  <c r="R15" i="28"/>
  <c r="U15" i="28"/>
  <c r="U20" i="28"/>
  <c r="AM42" i="7"/>
  <c r="U25" i="28"/>
  <c r="Z317" i="16"/>
  <c r="K317" i="21"/>
  <c r="N317" i="21"/>
  <c r="U23" i="28"/>
  <c r="AM39" i="7"/>
  <c r="R23" i="28"/>
  <c r="AF30" i="16"/>
  <c r="K395" i="21"/>
  <c r="S12" i="21"/>
  <c r="Y12" i="21"/>
  <c r="AG12" i="21"/>
  <c r="AE79" i="16"/>
  <c r="X14" i="25"/>
  <c r="X9" i="25"/>
  <c r="X15" i="25"/>
  <c r="T53" i="7"/>
  <c r="N6" i="9"/>
  <c r="T6" i="9"/>
  <c r="AM6" i="9"/>
  <c r="Z313" i="16"/>
  <c r="K313" i="21"/>
  <c r="N313" i="21"/>
  <c r="Z90" i="16"/>
  <c r="K90" i="21"/>
  <c r="N90" i="21"/>
  <c r="Z300" i="16"/>
  <c r="AF300" i="16"/>
  <c r="N10" i="23"/>
  <c r="N62" i="23"/>
  <c r="AL29" i="8"/>
  <c r="AJ29" i="8"/>
  <c r="AK13" i="9"/>
  <c r="AK13" i="8"/>
  <c r="AM35" i="8"/>
  <c r="T35" i="8"/>
  <c r="N35" i="8"/>
  <c r="AG14" i="8"/>
  <c r="AJ9" i="21"/>
  <c r="V9" i="21"/>
  <c r="N101" i="21"/>
  <c r="AP55" i="9"/>
  <c r="AP53" i="9"/>
  <c r="AF109" i="16"/>
  <c r="Y17" i="16"/>
  <c r="AE17" i="16"/>
  <c r="Z342" i="16"/>
  <c r="K342" i="21"/>
  <c r="N342" i="21"/>
  <c r="AJ8" i="7"/>
  <c r="AF8" i="23"/>
  <c r="AF60" i="23"/>
  <c r="Z386" i="16"/>
  <c r="K386" i="21"/>
  <c r="N386" i="21"/>
  <c r="AO9" i="9"/>
  <c r="AE9" i="9"/>
  <c r="AG9" i="9"/>
  <c r="AO50" i="8"/>
  <c r="AE50" i="8"/>
  <c r="AB50" i="23"/>
  <c r="AB102" i="23"/>
  <c r="AF181" i="16"/>
  <c r="Z181" i="16"/>
  <c r="N153" i="21"/>
  <c r="K153" i="21"/>
  <c r="Y49" i="16"/>
  <c r="AE49" i="16"/>
  <c r="AF212" i="16"/>
  <c r="Z212" i="16"/>
  <c r="AL23" i="9"/>
  <c r="AJ23" i="9"/>
  <c r="N178" i="21"/>
  <c r="K178" i="21"/>
  <c r="AG9" i="21"/>
  <c r="Y9" i="21"/>
  <c r="K101" i="21"/>
  <c r="S9" i="21"/>
  <c r="AF329" i="16"/>
  <c r="N214" i="21"/>
  <c r="K214" i="21"/>
  <c r="N327" i="21"/>
  <c r="K327" i="21"/>
  <c r="AB58" i="23"/>
  <c r="AB6" i="23"/>
  <c r="AG16" i="9"/>
  <c r="AE16" i="9"/>
  <c r="AO16" i="9"/>
  <c r="N311" i="21"/>
  <c r="K311" i="21"/>
  <c r="Y79" i="16"/>
  <c r="J79" i="21"/>
  <c r="M79" i="21"/>
  <c r="AG18" i="8"/>
  <c r="AE89" i="17"/>
  <c r="Z89" i="17"/>
  <c r="AE106" i="17"/>
  <c r="Z106" i="17"/>
  <c r="Z315" i="16"/>
  <c r="K315" i="21"/>
  <c r="N315" i="21"/>
  <c r="AO35" i="9"/>
  <c r="AE35" i="9"/>
  <c r="AG35" i="9"/>
  <c r="Z334" i="16"/>
  <c r="AF334" i="16"/>
  <c r="N14" i="9"/>
  <c r="T14" i="9"/>
  <c r="AM14" i="9"/>
  <c r="Z30" i="16"/>
  <c r="K30" i="21"/>
  <c r="N30" i="21"/>
  <c r="Z304" i="16"/>
  <c r="AF304" i="16"/>
  <c r="D14" i="25"/>
  <c r="N5" i="23"/>
  <c r="N57" i="23"/>
  <c r="D9" i="25"/>
  <c r="D15" i="25"/>
  <c r="N199" i="21"/>
  <c r="K199" i="21"/>
  <c r="AO33" i="8"/>
  <c r="AE33" i="8"/>
  <c r="AG33" i="8"/>
  <c r="AO31" i="8"/>
  <c r="AE31" i="8"/>
  <c r="AG31" i="8"/>
  <c r="Y11" i="16"/>
  <c r="AE11" i="16"/>
  <c r="AO50" i="9"/>
  <c r="AE50" i="9"/>
  <c r="AG50" i="9"/>
  <c r="AK22" i="8"/>
  <c r="AK22" i="6"/>
  <c r="AK22" i="7"/>
  <c r="AK22" i="9"/>
  <c r="AL41" i="8"/>
  <c r="AJ41" i="8"/>
  <c r="AF273" i="16"/>
  <c r="Z273" i="16"/>
  <c r="AO14" i="8"/>
  <c r="AE14" i="8"/>
  <c r="AB14" i="23"/>
  <c r="AB66" i="23"/>
  <c r="N326" i="21"/>
  <c r="K326" i="21"/>
  <c r="AE102" i="17"/>
  <c r="Z102" i="17"/>
  <c r="AF184" i="16"/>
  <c r="Z184" i="16"/>
  <c r="AP5" i="9"/>
  <c r="AF5" i="9"/>
  <c r="Z109" i="16"/>
  <c r="K109" i="21"/>
  <c r="N109" i="21"/>
  <c r="AF209" i="16"/>
  <c r="Z209" i="16"/>
  <c r="Z326" i="16"/>
  <c r="AF326" i="16"/>
  <c r="AG86" i="23"/>
  <c r="AG34" i="23"/>
  <c r="Z153" i="16"/>
  <c r="AF153" i="16"/>
  <c r="N13" i="8"/>
  <c r="T13" i="8"/>
  <c r="AM13" i="8"/>
  <c r="Z98" i="16"/>
  <c r="AF98" i="16"/>
  <c r="AG44" i="9"/>
  <c r="AE44" i="9"/>
  <c r="AO44" i="9"/>
  <c r="N180" i="21"/>
  <c r="K180" i="21"/>
  <c r="Y78" i="16"/>
  <c r="AE78" i="16"/>
  <c r="N355" i="21"/>
  <c r="K355" i="21"/>
  <c r="N288" i="21"/>
  <c r="K288" i="21"/>
  <c r="AE18" i="17"/>
  <c r="Z18" i="17"/>
  <c r="AL16" i="7"/>
  <c r="AE16" i="17"/>
  <c r="Z16" i="17"/>
  <c r="AL35" i="8"/>
  <c r="AJ35" i="8"/>
  <c r="AB9" i="21"/>
  <c r="N90" i="23"/>
  <c r="N38" i="23"/>
  <c r="AV3" i="16"/>
  <c r="R11" i="25"/>
  <c r="Z329" i="16"/>
  <c r="K329" i="21"/>
  <c r="N329" i="21"/>
  <c r="AF104" i="16"/>
  <c r="AL13" i="7"/>
  <c r="AC81" i="23"/>
  <c r="AC29" i="23"/>
  <c r="AF29" i="8"/>
  <c r="AP29" i="8"/>
  <c r="N48" i="23"/>
  <c r="N100" i="23"/>
  <c r="N9" i="9"/>
  <c r="T9" i="9"/>
  <c r="AM9" i="9"/>
  <c r="AF240" i="16"/>
  <c r="Z240" i="16"/>
  <c r="AF190" i="16"/>
  <c r="Z190" i="16"/>
  <c r="AF22" i="16"/>
  <c r="AM24" i="8"/>
  <c r="T24" i="8"/>
  <c r="N24" i="8"/>
  <c r="N296" i="21"/>
  <c r="K296" i="21"/>
  <c r="AG45" i="9"/>
  <c r="AE45" i="9"/>
  <c r="AO45" i="9"/>
  <c r="N231" i="21"/>
  <c r="K231" i="21"/>
  <c r="N308" i="21"/>
  <c r="K308" i="21"/>
  <c r="AF75" i="23"/>
  <c r="AF23" i="23"/>
  <c r="AE12" i="17"/>
  <c r="Z12" i="17"/>
  <c r="AO10" i="8"/>
  <c r="AE10" i="8"/>
  <c r="AG10" i="8"/>
  <c r="N259" i="21"/>
  <c r="K259" i="21"/>
  <c r="AM25" i="8"/>
  <c r="T25" i="8"/>
  <c r="N25" i="8"/>
  <c r="AG30" i="9"/>
  <c r="AE30" i="9"/>
  <c r="AO30" i="9"/>
  <c r="Z288" i="16"/>
  <c r="AF288" i="16"/>
  <c r="AE73" i="17"/>
  <c r="Z73" i="17"/>
  <c r="AF166" i="16"/>
  <c r="AE35" i="17"/>
  <c r="Z35" i="17"/>
  <c r="N223" i="21"/>
  <c r="K223" i="21"/>
  <c r="AG69" i="23"/>
  <c r="AG17" i="23"/>
  <c r="N103" i="21"/>
  <c r="K103" i="21"/>
  <c r="AF376" i="16"/>
  <c r="Z376" i="16"/>
  <c r="T27" i="7"/>
  <c r="AP27" i="9"/>
  <c r="AF27" i="9"/>
  <c r="AP5" i="8"/>
  <c r="AF5" i="8"/>
  <c r="AC5" i="23"/>
  <c r="AC57" i="23"/>
  <c r="S11" i="25"/>
  <c r="AK41" i="6"/>
  <c r="AK41" i="7"/>
  <c r="AG41" i="23"/>
  <c r="AG93" i="23"/>
  <c r="AO43" i="8"/>
  <c r="AE43" i="8"/>
  <c r="AG43" i="8"/>
  <c r="AE71" i="17"/>
  <c r="Z71" i="17"/>
  <c r="Y13" i="16"/>
  <c r="AE13" i="16"/>
  <c r="N134" i="21"/>
  <c r="K134" i="21"/>
  <c r="L67" i="6"/>
  <c r="AE21" i="16"/>
  <c r="AK34" i="8"/>
  <c r="AK34" i="6"/>
  <c r="AK34" i="7"/>
  <c r="AK34" i="9"/>
  <c r="Z147" i="16"/>
  <c r="AF147" i="16"/>
  <c r="AJ42" i="7"/>
  <c r="AJ42" i="9"/>
  <c r="AL42" i="9"/>
  <c r="N75" i="23"/>
  <c r="N23" i="23"/>
  <c r="Z93" i="16"/>
  <c r="K93" i="21"/>
  <c r="N93" i="21"/>
  <c r="Y21" i="16"/>
  <c r="J21" i="21"/>
  <c r="M21" i="21"/>
  <c r="AO39" i="8"/>
  <c r="AE39" i="8"/>
  <c r="AG39" i="8"/>
  <c r="AK13" i="6"/>
  <c r="AK13" i="7"/>
  <c r="AG13" i="23"/>
  <c r="AG65" i="23"/>
  <c r="Z390" i="16"/>
  <c r="AF390" i="16"/>
  <c r="AP7" i="8"/>
  <c r="AF7" i="8"/>
  <c r="AC7" i="23"/>
  <c r="AC59" i="23"/>
  <c r="Y4" i="16"/>
  <c r="AE4" i="16"/>
  <c r="AG90" i="23"/>
  <c r="AG38" i="23"/>
  <c r="N216" i="21"/>
  <c r="K216" i="21"/>
  <c r="N235" i="21"/>
  <c r="K235" i="21"/>
  <c r="R10" i="28"/>
  <c r="AM26" i="7"/>
  <c r="U10" i="28"/>
  <c r="AB5" i="23"/>
  <c r="AB57" i="23"/>
  <c r="R7" i="25"/>
  <c r="R13" i="25"/>
  <c r="Z65" i="16"/>
  <c r="AF65" i="16"/>
  <c r="Z104" i="16"/>
  <c r="K104" i="21"/>
  <c r="N104" i="21"/>
  <c r="AJ13" i="7"/>
  <c r="AF13" i="23"/>
  <c r="AF65" i="23"/>
  <c r="AF412" i="16"/>
  <c r="Z308" i="16"/>
  <c r="AF308" i="16"/>
  <c r="Z22" i="16"/>
  <c r="K22" i="21"/>
  <c r="N22" i="21"/>
  <c r="AV7" i="16"/>
  <c r="AU7" i="16"/>
  <c r="AM20" i="9"/>
  <c r="T20" i="9"/>
  <c r="N20" i="9"/>
  <c r="AG23" i="8"/>
  <c r="N26" i="21"/>
  <c r="K26" i="21"/>
  <c r="AL34" i="9"/>
  <c r="AJ34" i="9"/>
  <c r="N132" i="21"/>
  <c r="K132" i="21"/>
  <c r="AO7" i="8"/>
  <c r="AE7" i="8"/>
  <c r="AG7" i="8"/>
  <c r="AL34" i="7"/>
  <c r="N29" i="8"/>
  <c r="T29" i="8"/>
  <c r="AM29" i="8"/>
  <c r="AO35" i="8"/>
  <c r="AE35" i="8"/>
  <c r="AG35" i="8"/>
  <c r="N59" i="21"/>
  <c r="K59" i="21"/>
  <c r="AM7" i="8"/>
  <c r="T7" i="8"/>
  <c r="N7" i="8"/>
  <c r="AL43" i="8"/>
  <c r="AJ43" i="8"/>
  <c r="Z166" i="16"/>
  <c r="K166" i="21"/>
  <c r="N166" i="21"/>
  <c r="AF337" i="16"/>
  <c r="AL31" i="7"/>
  <c r="AL12" i="8"/>
  <c r="AJ12" i="8"/>
  <c r="AE53" i="8"/>
  <c r="AO5" i="8"/>
  <c r="AE5" i="8"/>
  <c r="AG5" i="8"/>
  <c r="AF339" i="16"/>
  <c r="AE48" i="16"/>
  <c r="Z284" i="16"/>
  <c r="AF284" i="16"/>
  <c r="N60" i="23"/>
  <c r="N8" i="23"/>
  <c r="AF396" i="16"/>
  <c r="N48" i="9"/>
  <c r="T48" i="9"/>
  <c r="AM48" i="9"/>
  <c r="Z412" i="16"/>
  <c r="K412" i="21"/>
  <c r="N412" i="21"/>
  <c r="AF13" i="9"/>
  <c r="AP13" i="9"/>
  <c r="I14" i="28"/>
  <c r="AM14" i="7"/>
  <c r="F14" i="28"/>
  <c r="AF231" i="16"/>
  <c r="Z231" i="16"/>
  <c r="Z2" i="16"/>
  <c r="K2" i="21"/>
  <c r="N2" i="21"/>
  <c r="V7" i="21"/>
  <c r="AJ7" i="21"/>
  <c r="AF114" i="16"/>
  <c r="N146" i="21"/>
  <c r="K146" i="21"/>
  <c r="AU2" i="16"/>
  <c r="AV2" i="16"/>
  <c r="N272" i="21"/>
  <c r="K272" i="21"/>
  <c r="AO23" i="8"/>
  <c r="AE23" i="8"/>
  <c r="AB23" i="23"/>
  <c r="AB75" i="23"/>
  <c r="AJ10" i="21"/>
  <c r="V10" i="21"/>
  <c r="K237" i="21"/>
  <c r="N237" i="21"/>
  <c r="AC58" i="23"/>
  <c r="AC6" i="23"/>
  <c r="AF6" i="8"/>
  <c r="AP6" i="8"/>
  <c r="AC102" i="23"/>
  <c r="AC50" i="23"/>
  <c r="AF50" i="8"/>
  <c r="AP50" i="8"/>
  <c r="AF95" i="16"/>
  <c r="AE11" i="21"/>
  <c r="AE51" i="17"/>
  <c r="Z51" i="17"/>
  <c r="AF260" i="16"/>
  <c r="Z260" i="16"/>
  <c r="AF394" i="16"/>
  <c r="AF303" i="16"/>
  <c r="N356" i="21"/>
  <c r="K356" i="21"/>
  <c r="AF259" i="16"/>
  <c r="Z259" i="16"/>
  <c r="AC95" i="23"/>
  <c r="AC43" i="23"/>
  <c r="AF43" i="8"/>
  <c r="AP43" i="8"/>
  <c r="N378" i="21"/>
  <c r="K378" i="21"/>
  <c r="N17" i="21"/>
  <c r="K17" i="21"/>
  <c r="AM41" i="8"/>
  <c r="T41" i="8"/>
  <c r="N41" i="8"/>
  <c r="N73" i="23"/>
  <c r="N21" i="23"/>
  <c r="AK11" i="9"/>
  <c r="AK11" i="6"/>
  <c r="AK11" i="7"/>
  <c r="AK11" i="8"/>
  <c r="AE113" i="17"/>
  <c r="Z113" i="17"/>
  <c r="AK38" i="8"/>
  <c r="AK38" i="6"/>
  <c r="AK38" i="7"/>
  <c r="AK38" i="9"/>
  <c r="Z339" i="16"/>
  <c r="K339" i="21"/>
  <c r="N339" i="21"/>
  <c r="AL53" i="8"/>
  <c r="AF379" i="16"/>
  <c r="Z379" i="16"/>
  <c r="AV8" i="16"/>
  <c r="AE103" i="17"/>
  <c r="Z103" i="17"/>
  <c r="N198" i="21"/>
  <c r="K198" i="21"/>
  <c r="Z396" i="16"/>
  <c r="K396" i="21"/>
  <c r="N396" i="21"/>
  <c r="N35" i="9"/>
  <c r="T35" i="9"/>
  <c r="AM35" i="9"/>
  <c r="Z114" i="16"/>
  <c r="K114" i="21"/>
  <c r="N114" i="21"/>
  <c r="Z95" i="16"/>
  <c r="K95" i="21"/>
  <c r="N95" i="21"/>
  <c r="N220" i="21"/>
  <c r="K220" i="21"/>
  <c r="AF214" i="16"/>
  <c r="Z214" i="16"/>
  <c r="AF33" i="16"/>
  <c r="Z146" i="16"/>
  <c r="AF146" i="16"/>
  <c r="AJ11" i="21"/>
  <c r="V11" i="21"/>
  <c r="Z276" i="16"/>
  <c r="K276" i="21"/>
  <c r="N276" i="21"/>
  <c r="AF135" i="16"/>
  <c r="AE25" i="17"/>
  <c r="Z25" i="17"/>
  <c r="AF175" i="16"/>
  <c r="Z175" i="16"/>
  <c r="Z135" i="16"/>
  <c r="K135" i="21"/>
  <c r="N135" i="21"/>
  <c r="N320" i="21"/>
  <c r="K320" i="21"/>
  <c r="AF301" i="16"/>
  <c r="AF397" i="16"/>
  <c r="AF82" i="23"/>
  <c r="AF30" i="23"/>
  <c r="AG71" i="23"/>
  <c r="AG19" i="23"/>
  <c r="W14" i="25"/>
  <c r="W9" i="25"/>
  <c r="W15" i="25"/>
  <c r="N80" i="23"/>
  <c r="N28" i="23"/>
  <c r="AE57" i="17"/>
  <c r="Z57" i="17"/>
  <c r="AK17" i="8"/>
  <c r="AK17" i="6"/>
  <c r="AK17" i="7"/>
  <c r="AK17" i="9"/>
  <c r="AL17" i="8"/>
  <c r="AJ17" i="8"/>
  <c r="Z33" i="16"/>
  <c r="K33" i="21"/>
  <c r="N33" i="21"/>
  <c r="Z327" i="16"/>
  <c r="AF327" i="16"/>
  <c r="AF287" i="16"/>
  <c r="N64" i="23"/>
  <c r="N12" i="23"/>
  <c r="Z301" i="16"/>
  <c r="K301" i="21"/>
  <c r="N301" i="21"/>
  <c r="Z397" i="16"/>
  <c r="K397" i="21"/>
  <c r="N397" i="21"/>
  <c r="AP20" i="8"/>
  <c r="AF20" i="8"/>
  <c r="AC20" i="23"/>
  <c r="AC72" i="23"/>
  <c r="AB10" i="21"/>
  <c r="N332" i="21"/>
  <c r="K332" i="21"/>
  <c r="AE13" i="17"/>
  <c r="Z13" i="17"/>
  <c r="N177" i="21"/>
  <c r="K177" i="21"/>
  <c r="N312" i="21"/>
  <c r="K312" i="21"/>
  <c r="AO21" i="9"/>
  <c r="AE21" i="9"/>
  <c r="AG21" i="9"/>
  <c r="AO53" i="9"/>
  <c r="AO55" i="9"/>
  <c r="AF414" i="16"/>
  <c r="AF233" i="16"/>
  <c r="Z233" i="16"/>
  <c r="N382" i="21"/>
  <c r="K382" i="21"/>
  <c r="AE81" i="16"/>
  <c r="AL23" i="8"/>
  <c r="AJ23" i="8"/>
  <c r="AM9" i="8"/>
  <c r="T9" i="8"/>
  <c r="N9" i="8"/>
  <c r="AB99" i="23"/>
  <c r="AB47" i="23"/>
  <c r="AE69" i="17"/>
  <c r="Z69" i="17"/>
  <c r="AK42" i="9"/>
  <c r="AK42" i="8"/>
  <c r="AG38" i="8"/>
  <c r="N376" i="21"/>
  <c r="K376" i="21"/>
  <c r="Z296" i="16"/>
  <c r="AF296" i="16"/>
  <c r="N206" i="21"/>
  <c r="K206" i="21"/>
  <c r="AO38" i="8"/>
  <c r="AE38" i="8"/>
  <c r="AB38" i="23"/>
  <c r="AB90" i="23"/>
  <c r="AF197" i="16"/>
  <c r="Z197" i="16"/>
  <c r="AK8" i="9"/>
  <c r="AK8" i="8"/>
  <c r="AJ16" i="8"/>
  <c r="AL16" i="8"/>
  <c r="Y48" i="16"/>
  <c r="J48" i="21"/>
  <c r="M48" i="21"/>
  <c r="AF244" i="16"/>
  <c r="Z244" i="16"/>
  <c r="AF265" i="16"/>
  <c r="Z265" i="16"/>
  <c r="AF247" i="16"/>
  <c r="Z247" i="16"/>
  <c r="AF253" i="16"/>
  <c r="Z253" i="16"/>
  <c r="AE25" i="16"/>
  <c r="Z26" i="16"/>
  <c r="AF26" i="16"/>
  <c r="Z96" i="16"/>
  <c r="AF96" i="16"/>
  <c r="AP8" i="8"/>
  <c r="AF8" i="8"/>
  <c r="AC8" i="23"/>
  <c r="AC60" i="23"/>
  <c r="AL50" i="8"/>
  <c r="AJ50" i="8"/>
  <c r="AM45" i="8"/>
  <c r="N45" i="8"/>
  <c r="T45" i="8"/>
  <c r="AB61" i="23"/>
  <c r="AB9" i="23"/>
  <c r="M16" i="21"/>
  <c r="J16" i="21"/>
  <c r="N64" i="21"/>
  <c r="K64" i="21"/>
  <c r="AM46" i="9"/>
  <c r="T46" i="9"/>
  <c r="N46" i="9"/>
  <c r="AL48" i="7"/>
  <c r="AE64" i="17"/>
  <c r="Z64" i="17"/>
  <c r="AO6" i="8"/>
  <c r="AE6" i="8"/>
  <c r="AG6" i="8"/>
  <c r="AE10" i="21"/>
  <c r="Z66" i="17"/>
  <c r="AE66" i="17"/>
  <c r="AJ6" i="17"/>
  <c r="AL7" i="9"/>
  <c r="AJ7" i="9"/>
  <c r="AE41" i="17"/>
  <c r="Z41" i="17"/>
  <c r="AE114" i="17"/>
  <c r="Z114" i="17"/>
  <c r="AF57" i="16"/>
  <c r="U30" i="28"/>
  <c r="AM49" i="7"/>
  <c r="R30" i="28"/>
  <c r="AG22" i="9"/>
  <c r="AE22" i="9"/>
  <c r="AO22" i="9"/>
  <c r="Z355" i="16"/>
  <c r="AF355" i="16"/>
  <c r="N190" i="21"/>
  <c r="K190" i="21"/>
  <c r="Z414" i="16"/>
  <c r="K414" i="21"/>
  <c r="N414" i="21"/>
  <c r="AM14" i="8"/>
  <c r="T14" i="8"/>
  <c r="N14" i="8"/>
  <c r="Z58" i="16"/>
  <c r="AF58" i="16"/>
  <c r="AO25" i="9"/>
  <c r="AE25" i="9"/>
  <c r="AG25" i="9"/>
  <c r="N375" i="21"/>
  <c r="K375" i="21"/>
  <c r="AO18" i="8"/>
  <c r="AE18" i="8"/>
  <c r="AB18" i="23"/>
  <c r="AB70" i="23"/>
  <c r="AO23" i="9"/>
  <c r="AE23" i="9"/>
  <c r="AG23" i="9"/>
  <c r="AO47" i="8"/>
  <c r="AE47" i="8"/>
  <c r="AG47" i="8"/>
  <c r="AF375" i="16"/>
  <c r="Z375" i="16"/>
  <c r="N241" i="21"/>
  <c r="K241" i="21"/>
  <c r="AL47" i="9"/>
  <c r="AJ47" i="9"/>
  <c r="AK42" i="6"/>
  <c r="AK42" i="7"/>
  <c r="AG42" i="23"/>
  <c r="AG94" i="23"/>
  <c r="AL43" i="9"/>
  <c r="AJ43" i="9"/>
  <c r="AG53" i="9"/>
  <c r="Y12" i="16"/>
  <c r="AE12" i="16"/>
  <c r="AU13" i="16"/>
  <c r="Z101" i="16"/>
  <c r="AF101" i="16"/>
  <c r="AU3" i="16"/>
  <c r="AU8" i="16"/>
  <c r="AU9" i="16"/>
  <c r="AV9" i="16"/>
  <c r="Z279" i="16"/>
  <c r="AF279" i="16"/>
  <c r="AK8" i="6"/>
  <c r="AK8" i="7"/>
  <c r="AG8" i="23"/>
  <c r="AG60" i="23"/>
  <c r="Z23" i="16"/>
  <c r="K23" i="21"/>
  <c r="N23" i="21"/>
  <c r="Y41" i="16"/>
  <c r="AE41" i="16"/>
  <c r="AJ49" i="7"/>
  <c r="AL49" i="7"/>
  <c r="Z100" i="16"/>
  <c r="AF100" i="16"/>
  <c r="AO40" i="8"/>
  <c r="AE40" i="8"/>
  <c r="AG40" i="8"/>
  <c r="Y25" i="16"/>
  <c r="J25" i="21"/>
  <c r="M25" i="21"/>
  <c r="N359" i="21"/>
  <c r="K359" i="21"/>
  <c r="AF255" i="16"/>
  <c r="Z255" i="16"/>
  <c r="Z105" i="17"/>
  <c r="AE105" i="17"/>
  <c r="AJ5" i="17"/>
  <c r="AJ11" i="17"/>
  <c r="Z14" i="16"/>
  <c r="AF14" i="16"/>
  <c r="AF263" i="16"/>
  <c r="Z263" i="16"/>
  <c r="Y16" i="16"/>
  <c r="AE16" i="16"/>
  <c r="Z68" i="16"/>
  <c r="K68" i="21"/>
  <c r="N68" i="21"/>
  <c r="AJ48" i="7"/>
  <c r="AJ48" i="8"/>
  <c r="AL48" i="8"/>
  <c r="Z409" i="16"/>
  <c r="AF409" i="16"/>
  <c r="Z161" i="16"/>
  <c r="AF161" i="16"/>
  <c r="AO9" i="8"/>
  <c r="AE9" i="8"/>
  <c r="AG9" i="8"/>
  <c r="AG66" i="23"/>
  <c r="AG14" i="23"/>
  <c r="AF71" i="16"/>
  <c r="AK14" i="9"/>
  <c r="AK14" i="6"/>
  <c r="AK14" i="7"/>
  <c r="AK14" i="8"/>
  <c r="N353" i="21"/>
  <c r="K353" i="21"/>
  <c r="Z108" i="16"/>
  <c r="AF108" i="16"/>
  <c r="AF272" i="16"/>
  <c r="Z272" i="16"/>
  <c r="Z57" i="16"/>
  <c r="K57" i="21"/>
  <c r="N57" i="21"/>
  <c r="AE60" i="17"/>
  <c r="Z60" i="17"/>
  <c r="N67" i="23"/>
  <c r="N15" i="23"/>
  <c r="N92" i="21"/>
  <c r="K92" i="21"/>
  <c r="AE80" i="17"/>
  <c r="Z80" i="17"/>
  <c r="AP40" i="8"/>
  <c r="AF40" i="8"/>
  <c r="AC40" i="23"/>
  <c r="AC92" i="23"/>
  <c r="AE10" i="17"/>
  <c r="Z10" i="17"/>
  <c r="N319" i="21"/>
  <c r="K319" i="21"/>
  <c r="N110" i="21"/>
  <c r="K110" i="21"/>
  <c r="N74" i="21"/>
  <c r="K74" i="21"/>
  <c r="AL53" i="7"/>
  <c r="AE31" i="17"/>
  <c r="Z31" i="17"/>
  <c r="AC96" i="23"/>
  <c r="AC44" i="23"/>
  <c r="AF44" i="8"/>
  <c r="AP44" i="8"/>
  <c r="AE34" i="17"/>
  <c r="Z34" i="17"/>
  <c r="N28" i="9"/>
  <c r="T28" i="9"/>
  <c r="AM28" i="9"/>
  <c r="Z319" i="16"/>
  <c r="AF319" i="16"/>
  <c r="AB81" i="23"/>
  <c r="AB29" i="23"/>
  <c r="AE94" i="17"/>
  <c r="Z94" i="17"/>
  <c r="AE48" i="17"/>
  <c r="Z48" i="17"/>
  <c r="N24" i="21"/>
  <c r="K24" i="21"/>
  <c r="Z64" i="16"/>
  <c r="AF64" i="16"/>
  <c r="AJ58" i="7"/>
  <c r="AJ53" i="7"/>
  <c r="N416" i="21"/>
  <c r="K416" i="21"/>
  <c r="Z74" i="16"/>
  <c r="AF74" i="16"/>
  <c r="M6" i="21"/>
  <c r="J6" i="21"/>
  <c r="AC85" i="23"/>
  <c r="AC33" i="23"/>
  <c r="AF33" i="8"/>
  <c r="AP33" i="8"/>
  <c r="N267" i="21"/>
  <c r="K267" i="21"/>
  <c r="AM22" i="8"/>
  <c r="T22" i="8"/>
  <c r="N22" i="8"/>
  <c r="N181" i="21"/>
  <c r="K181" i="21"/>
  <c r="Y81" i="16"/>
  <c r="J81" i="21"/>
  <c r="M81" i="21"/>
  <c r="N38" i="21"/>
  <c r="K38" i="21"/>
  <c r="AL17" i="9"/>
  <c r="AJ17" i="9"/>
  <c r="R17" i="28"/>
  <c r="AM34" i="7"/>
  <c r="U17" i="28"/>
  <c r="AM25" i="9"/>
  <c r="T25" i="9"/>
  <c r="N25" i="9"/>
  <c r="Z103" i="16"/>
  <c r="AF103" i="16"/>
  <c r="N207" i="21"/>
  <c r="K207" i="21"/>
  <c r="N72" i="23"/>
  <c r="N20" i="23"/>
  <c r="AM51" i="8"/>
  <c r="T51" i="8"/>
  <c r="N51" i="8"/>
  <c r="N408" i="21"/>
  <c r="K408" i="21"/>
  <c r="N357" i="21"/>
  <c r="K357" i="21"/>
  <c r="N143" i="21"/>
  <c r="K143" i="21"/>
  <c r="AE107" i="17"/>
  <c r="Z107" i="17"/>
  <c r="N193" i="21"/>
  <c r="K193" i="21"/>
  <c r="AE10" i="16"/>
  <c r="M85" i="21"/>
  <c r="J85" i="21"/>
  <c r="AE86" i="17"/>
  <c r="Z86" i="17"/>
  <c r="AE72" i="17"/>
  <c r="Z72" i="17"/>
  <c r="AV6" i="16"/>
  <c r="AU6" i="16"/>
  <c r="AK19" i="8"/>
  <c r="AK19" i="6"/>
  <c r="AK19" i="7"/>
  <c r="AK19" i="9"/>
  <c r="Z71" i="16"/>
  <c r="K71" i="21"/>
  <c r="N71" i="21"/>
  <c r="Z362" i="16"/>
  <c r="AF362" i="16"/>
  <c r="N13" i="23"/>
  <c r="N65" i="23"/>
  <c r="AL43" i="7"/>
  <c r="AK51" i="8"/>
  <c r="AK51" i="9"/>
  <c r="N19" i="9"/>
  <c r="T19" i="9"/>
  <c r="AM19" i="9"/>
  <c r="AM29" i="7"/>
  <c r="N234" i="21"/>
  <c r="K234" i="21"/>
  <c r="N44" i="8"/>
  <c r="T44" i="8"/>
  <c r="AM44" i="8"/>
  <c r="AE39" i="16"/>
  <c r="Z287" i="16"/>
  <c r="K287" i="21"/>
  <c r="N287" i="21"/>
  <c r="Z337" i="16"/>
  <c r="K337" i="21"/>
  <c r="N337" i="21"/>
  <c r="AF38" i="9"/>
  <c r="AP38" i="9"/>
  <c r="N374" i="21"/>
  <c r="K374" i="21"/>
  <c r="N99" i="23"/>
  <c r="N47" i="23"/>
  <c r="R8" i="28"/>
  <c r="N25" i="6"/>
  <c r="N25" i="7"/>
  <c r="T25" i="7"/>
  <c r="AM25" i="7"/>
  <c r="U8" i="28"/>
  <c r="Z394" i="16"/>
  <c r="K394" i="21"/>
  <c r="N394" i="21"/>
  <c r="AO17" i="9"/>
  <c r="AE17" i="9"/>
  <c r="AG17" i="9"/>
  <c r="AL51" i="9"/>
  <c r="AJ51" i="9"/>
  <c r="AM17" i="9"/>
  <c r="T17" i="9"/>
  <c r="N17" i="9"/>
  <c r="AE52" i="17"/>
  <c r="Z52" i="17"/>
  <c r="AJ16" i="7"/>
  <c r="AJ16" i="9"/>
  <c r="AL16" i="9"/>
  <c r="AC89" i="23"/>
  <c r="AC37" i="23"/>
  <c r="AF37" i="8"/>
  <c r="AP37" i="8"/>
  <c r="AF215" i="16"/>
  <c r="Z215" i="16"/>
  <c r="AK44" i="9"/>
  <c r="AK44" i="8"/>
  <c r="V13" i="25"/>
  <c r="V7" i="25"/>
  <c r="N294" i="21"/>
  <c r="K294" i="21"/>
  <c r="N278" i="21"/>
  <c r="K278" i="21"/>
  <c r="N403" i="21"/>
  <c r="K403" i="21"/>
  <c r="AF402" i="16"/>
  <c r="Z59" i="16"/>
  <c r="AF59" i="16"/>
  <c r="AJ43" i="7"/>
  <c r="AF43" i="23"/>
  <c r="AF95" i="23"/>
  <c r="AE44" i="17"/>
  <c r="Z44" i="17"/>
  <c r="AK51" i="6"/>
  <c r="AK51" i="7"/>
  <c r="AG51" i="23"/>
  <c r="AG103" i="23"/>
  <c r="N38" i="9"/>
  <c r="T38" i="9"/>
  <c r="AM38" i="9"/>
  <c r="Y39" i="16"/>
  <c r="J39" i="21"/>
  <c r="M39" i="21"/>
  <c r="AF330" i="16"/>
  <c r="N299" i="21"/>
  <c r="K299" i="21"/>
  <c r="N379" i="21"/>
  <c r="K379" i="21"/>
  <c r="Z311" i="16"/>
  <c r="AF311" i="16"/>
  <c r="U24" i="28"/>
  <c r="AM40" i="7"/>
  <c r="R24" i="28"/>
  <c r="AM11" i="9"/>
  <c r="T11" i="9"/>
  <c r="N11" i="9"/>
  <c r="AF385" i="16"/>
  <c r="AF8" i="16"/>
  <c r="N122" i="21"/>
  <c r="K122" i="21"/>
  <c r="AE29" i="17"/>
  <c r="Z29" i="17"/>
  <c r="N318" i="21"/>
  <c r="K318" i="21"/>
  <c r="Z17" i="16"/>
  <c r="AF17" i="16"/>
  <c r="N85" i="23"/>
  <c r="N33" i="23"/>
  <c r="AG97" i="23"/>
  <c r="AG45" i="23"/>
  <c r="AK44" i="6"/>
  <c r="AK44" i="7"/>
  <c r="AG44" i="23"/>
  <c r="AG96" i="23"/>
  <c r="AC64" i="23"/>
  <c r="AC12" i="23"/>
  <c r="AF12" i="8"/>
  <c r="AP12" i="8"/>
  <c r="AF347" i="16"/>
  <c r="AG36" i="8"/>
  <c r="N32" i="21"/>
  <c r="K32" i="21"/>
  <c r="M18" i="21"/>
  <c r="J18" i="21"/>
  <c r="N321" i="21"/>
  <c r="K321" i="21"/>
  <c r="AL29" i="7"/>
  <c r="AB98" i="23"/>
  <c r="AB46" i="23"/>
  <c r="AO49" i="9"/>
  <c r="AE49" i="9"/>
  <c r="AG49" i="9"/>
  <c r="Z312" i="16"/>
  <c r="AF312" i="16"/>
  <c r="AK45" i="9"/>
  <c r="AK45" i="6"/>
  <c r="AK45" i="7"/>
  <c r="AK45" i="8"/>
  <c r="AF343" i="16"/>
  <c r="Z402" i="16"/>
  <c r="K402" i="21"/>
  <c r="N402" i="21"/>
  <c r="N46" i="8"/>
  <c r="T46" i="8"/>
  <c r="AM46" i="8"/>
  <c r="N12" i="8"/>
  <c r="T12" i="8"/>
  <c r="AM12" i="8"/>
  <c r="AO29" i="8"/>
  <c r="AE29" i="8"/>
  <c r="AG29" i="8"/>
  <c r="AL22" i="7"/>
  <c r="AF14" i="9"/>
  <c r="AP14" i="9"/>
  <c r="T29" i="7"/>
  <c r="AO29" i="9"/>
  <c r="AE29" i="9"/>
  <c r="AG29" i="9"/>
  <c r="Z24" i="16"/>
  <c r="AF24" i="16"/>
  <c r="Z330" i="16"/>
  <c r="K330" i="21"/>
  <c r="N330" i="21"/>
  <c r="AL10" i="8"/>
  <c r="AJ10" i="8"/>
  <c r="AL51" i="8"/>
  <c r="AJ51" i="8"/>
  <c r="Z299" i="16"/>
  <c r="AF299" i="16"/>
  <c r="AG8" i="9"/>
  <c r="AE8" i="9"/>
  <c r="AO8" i="9"/>
  <c r="N62" i="21"/>
  <c r="K62" i="21"/>
  <c r="Z385" i="16"/>
  <c r="K385" i="21"/>
  <c r="N385" i="21"/>
  <c r="AF43" i="9"/>
  <c r="AP43" i="9"/>
  <c r="AO13" i="9"/>
  <c r="AE13" i="9"/>
  <c r="AG13" i="9"/>
  <c r="AM41" i="7"/>
  <c r="N228" i="21"/>
  <c r="K228" i="21"/>
  <c r="AF245" i="16"/>
  <c r="Z245" i="16"/>
  <c r="Z8" i="16"/>
  <c r="K8" i="21"/>
  <c r="N8" i="21"/>
  <c r="Z320" i="16"/>
  <c r="AF320" i="16"/>
  <c r="AF72" i="23"/>
  <c r="AF20" i="23"/>
  <c r="AG79" i="23"/>
  <c r="AG27" i="23"/>
  <c r="AF361" i="16"/>
  <c r="N289" i="21"/>
  <c r="K289" i="21"/>
  <c r="N340" i="21"/>
  <c r="K340" i="21"/>
  <c r="N224" i="21"/>
  <c r="K224" i="21"/>
  <c r="N162" i="21"/>
  <c r="K162" i="21"/>
  <c r="N18" i="21"/>
  <c r="K18" i="21"/>
  <c r="Z32" i="16"/>
  <c r="AF32" i="16"/>
  <c r="AL38" i="7"/>
  <c r="N388" i="21"/>
  <c r="K388" i="21"/>
  <c r="AF67" i="23"/>
  <c r="AF15" i="23"/>
  <c r="AO46" i="8"/>
  <c r="AE46" i="8"/>
  <c r="AG46" i="8"/>
  <c r="AE44" i="16"/>
  <c r="Z343" i="16"/>
  <c r="K343" i="21"/>
  <c r="N343" i="21"/>
  <c r="AL20" i="8"/>
  <c r="AJ20" i="8"/>
  <c r="Z359" i="16"/>
  <c r="AF359" i="16"/>
  <c r="AL21" i="7"/>
  <c r="AJ22" i="7"/>
  <c r="AJ22" i="9"/>
  <c r="AL22" i="9"/>
  <c r="AE93" i="17"/>
  <c r="Z93" i="17"/>
  <c r="AO24" i="9"/>
  <c r="AE24" i="9"/>
  <c r="AG24" i="9"/>
  <c r="AO39" i="9"/>
  <c r="AE39" i="9"/>
  <c r="AG39" i="9"/>
  <c r="N328" i="21"/>
  <c r="K328" i="21"/>
  <c r="Z62" i="16"/>
  <c r="AF62" i="16"/>
  <c r="AF413" i="16"/>
  <c r="N19" i="23"/>
  <c r="N71" i="23"/>
  <c r="M5" i="21"/>
  <c r="J5" i="21"/>
  <c r="N338" i="21"/>
  <c r="K338" i="21"/>
  <c r="AG67" i="23"/>
  <c r="AG15" i="23"/>
  <c r="W11" i="25"/>
  <c r="AF105" i="16"/>
  <c r="AM23" i="9"/>
  <c r="N23" i="9"/>
  <c r="T23" i="9"/>
  <c r="F49" i="5"/>
  <c r="AM53" i="9"/>
  <c r="F48" i="5"/>
  <c r="AE36" i="17"/>
  <c r="Z36" i="17"/>
  <c r="AB65" i="23"/>
  <c r="AB13" i="23"/>
  <c r="Z132" i="16"/>
  <c r="AF132" i="16"/>
  <c r="N89" i="21"/>
  <c r="K89" i="21"/>
  <c r="Z318" i="16"/>
  <c r="AF318" i="16"/>
  <c r="AF93" i="23"/>
  <c r="AF41" i="23"/>
  <c r="AF178" i="16"/>
  <c r="Z178" i="16"/>
  <c r="AG30" i="8"/>
  <c r="AC76" i="23"/>
  <c r="AC24" i="23"/>
  <c r="AF24" i="8"/>
  <c r="AP24" i="8"/>
  <c r="AE23" i="17"/>
  <c r="Z23" i="17"/>
  <c r="N22" i="9"/>
  <c r="T22" i="9"/>
  <c r="AM22" i="9"/>
  <c r="AF113" i="16"/>
  <c r="AM26" i="9"/>
  <c r="T26" i="9"/>
  <c r="N26" i="9"/>
  <c r="AO46" i="9"/>
  <c r="AE46" i="9"/>
  <c r="AG46" i="9"/>
  <c r="AJ34" i="7"/>
  <c r="AF34" i="23"/>
  <c r="AF86" i="23"/>
  <c r="AF46" i="9"/>
  <c r="AP46" i="9"/>
  <c r="AE40" i="17"/>
  <c r="Z40" i="17"/>
  <c r="Y45" i="16"/>
  <c r="AE45" i="16"/>
  <c r="Z92" i="16"/>
  <c r="AF92" i="16"/>
  <c r="Z237" i="16"/>
  <c r="AF237" i="16"/>
  <c r="AU4" i="16"/>
  <c r="AV4" i="16"/>
  <c r="Z332" i="16"/>
  <c r="AF332" i="16"/>
  <c r="Z303" i="16"/>
  <c r="K303" i="21"/>
  <c r="N303" i="21"/>
  <c r="Z356" i="16"/>
  <c r="AF356" i="16"/>
  <c r="Z110" i="16"/>
  <c r="AF110" i="16"/>
  <c r="AK5" i="8"/>
  <c r="AK5" i="9"/>
  <c r="AE50" i="17"/>
  <c r="Z50" i="17"/>
  <c r="AF238" i="16"/>
  <c r="Z238" i="16"/>
  <c r="N103" i="23"/>
  <c r="N51" i="23"/>
  <c r="Y44" i="16"/>
  <c r="J44" i="21"/>
  <c r="M44" i="21"/>
  <c r="AL37" i="8"/>
  <c r="AJ37" i="8"/>
  <c r="AJ21" i="7"/>
  <c r="AJ21" i="9"/>
  <c r="AL21" i="9"/>
  <c r="AL5" i="7"/>
  <c r="Z416" i="16"/>
  <c r="AF416" i="16"/>
  <c r="AF87" i="23"/>
  <c r="AF35" i="23"/>
  <c r="AF97" i="23"/>
  <c r="AF45" i="23"/>
  <c r="Y6" i="16"/>
  <c r="AE6" i="16"/>
  <c r="Z328" i="16"/>
  <c r="AF328" i="16"/>
  <c r="AL15" i="8"/>
  <c r="AJ15" i="8"/>
  <c r="AJ53" i="9"/>
  <c r="AJ5" i="9"/>
  <c r="AL5" i="9"/>
  <c r="AL11" i="8"/>
  <c r="AJ11" i="8"/>
  <c r="Z38" i="16"/>
  <c r="AF38" i="16"/>
  <c r="Z413" i="16"/>
  <c r="K413" i="21"/>
  <c r="N413" i="21"/>
  <c r="Y5" i="16"/>
  <c r="AE5" i="16"/>
  <c r="Z338" i="16"/>
  <c r="AF338" i="16"/>
  <c r="N188" i="21"/>
  <c r="K188" i="21"/>
  <c r="AK15" i="8"/>
  <c r="AK15" i="7"/>
  <c r="AK15" i="9"/>
  <c r="AK5" i="7"/>
  <c r="AG5" i="23"/>
  <c r="AG57" i="23"/>
  <c r="W7" i="25"/>
  <c r="W13" i="25"/>
  <c r="Z105" i="16"/>
  <c r="K105" i="21"/>
  <c r="N105" i="21"/>
  <c r="AF48" i="9"/>
  <c r="AP48" i="9"/>
  <c r="E49" i="5"/>
  <c r="E48" i="5"/>
  <c r="AL50" i="7"/>
  <c r="N13" i="21"/>
  <c r="K13" i="21"/>
  <c r="AF188" i="16"/>
  <c r="Z188" i="16"/>
  <c r="AF282" i="16"/>
  <c r="N373" i="21"/>
  <c r="K373" i="21"/>
  <c r="N138" i="21"/>
  <c r="K138" i="21"/>
  <c r="AF400" i="16"/>
  <c r="AF20" i="9"/>
  <c r="AP20" i="9"/>
  <c r="AL37" i="9"/>
  <c r="AJ37" i="9"/>
  <c r="AE5" i="17"/>
  <c r="Z5" i="17"/>
  <c r="AJ23" i="7"/>
  <c r="AL23" i="7"/>
  <c r="AK27" i="9"/>
  <c r="AK27" i="6"/>
  <c r="AK27" i="7"/>
  <c r="AK27" i="8"/>
  <c r="AJ31" i="7"/>
  <c r="AJ31" i="8"/>
  <c r="AL31" i="8"/>
  <c r="AF331" i="16"/>
  <c r="N31" i="21"/>
  <c r="K31" i="21"/>
  <c r="Z13" i="16"/>
  <c r="AF13" i="16"/>
  <c r="N283" i="21"/>
  <c r="K283" i="21"/>
  <c r="E8" i="28"/>
  <c r="H6" i="28"/>
  <c r="H8" i="28"/>
  <c r="E6" i="28"/>
  <c r="N42" i="23"/>
  <c r="N94" i="23"/>
  <c r="AF4" i="16"/>
  <c r="AP49" i="8"/>
  <c r="AF49" i="8"/>
  <c r="AC49" i="23"/>
  <c r="AC101" i="23"/>
  <c r="AO30" i="8"/>
  <c r="AE30" i="8"/>
  <c r="AB30" i="23"/>
  <c r="AB82" i="23"/>
  <c r="Y10" i="16"/>
  <c r="J10" i="21"/>
  <c r="M10" i="21"/>
  <c r="AE91" i="17"/>
  <c r="Z91" i="17"/>
  <c r="AF179" i="16"/>
  <c r="Z179" i="16"/>
  <c r="AP16" i="8"/>
  <c r="AF16" i="8"/>
  <c r="AC16" i="23"/>
  <c r="AC68" i="23"/>
  <c r="Z347" i="16"/>
  <c r="K347" i="21"/>
  <c r="N347" i="21"/>
  <c r="M23" i="21"/>
  <c r="J23" i="21"/>
  <c r="Z340" i="16"/>
  <c r="AF340" i="16"/>
  <c r="AG15" i="9"/>
  <c r="AE15" i="9"/>
  <c r="AO15" i="9"/>
  <c r="AE99" i="17"/>
  <c r="Z99" i="17"/>
  <c r="AE55" i="17"/>
  <c r="Z55" i="17"/>
  <c r="AG41" i="8"/>
  <c r="AF180" i="16"/>
  <c r="Z180" i="16"/>
  <c r="AG72" i="23"/>
  <c r="AG20" i="23"/>
  <c r="AF53" i="9"/>
  <c r="AE49" i="17"/>
  <c r="Z49" i="17"/>
  <c r="AE22" i="17"/>
  <c r="Z22" i="17"/>
  <c r="AP48" i="8"/>
  <c r="AF48" i="8"/>
  <c r="AC48" i="23"/>
  <c r="AC100" i="23"/>
  <c r="AF137" i="16"/>
  <c r="AE45" i="17"/>
  <c r="Z45" i="17"/>
  <c r="AL26" i="9"/>
  <c r="AJ26" i="9"/>
  <c r="AF226" i="16"/>
  <c r="Z226" i="16"/>
  <c r="AF32" i="9"/>
  <c r="AP32" i="9"/>
  <c r="AG31" i="9"/>
  <c r="AE31" i="9"/>
  <c r="T31" i="7"/>
  <c r="AO31" i="9"/>
  <c r="AF98" i="23"/>
  <c r="AF46" i="23"/>
  <c r="N69" i="23"/>
  <c r="N17" i="23"/>
  <c r="N245" i="21"/>
  <c r="K245" i="21"/>
  <c r="AJ13" i="6"/>
  <c r="N13" i="6"/>
  <c r="N13" i="7"/>
  <c r="T13" i="7"/>
  <c r="AO13" i="8"/>
  <c r="AE13" i="8"/>
  <c r="AG13" i="8"/>
  <c r="AK36" i="8"/>
  <c r="AK36" i="9"/>
  <c r="AK36" i="6"/>
  <c r="AK36" i="7"/>
  <c r="AG36" i="23"/>
  <c r="AG88" i="23"/>
  <c r="AG11" i="9"/>
  <c r="AE11" i="9"/>
  <c r="AO11" i="9"/>
  <c r="AE84" i="17"/>
  <c r="Z84" i="17"/>
  <c r="AK48" i="8"/>
  <c r="AK48" i="9"/>
  <c r="Z31" i="16"/>
  <c r="AF31" i="16"/>
  <c r="N76" i="21"/>
  <c r="K76" i="21"/>
  <c r="AF389" i="16"/>
  <c r="Z4" i="16"/>
  <c r="K4" i="21"/>
  <c r="N4" i="21"/>
  <c r="AF274" i="16"/>
  <c r="Z274" i="16"/>
  <c r="AL40" i="7"/>
  <c r="Z283" i="16"/>
  <c r="AF283" i="16"/>
  <c r="Y85" i="16"/>
  <c r="AE85" i="16"/>
  <c r="N32" i="8"/>
  <c r="T32" i="8"/>
  <c r="AM32" i="8"/>
  <c r="AF205" i="16"/>
  <c r="Z205" i="16"/>
  <c r="AE98" i="17"/>
  <c r="Z98" i="17"/>
  <c r="AE74" i="17"/>
  <c r="Z74" i="17"/>
  <c r="N246" i="21"/>
  <c r="K246" i="21"/>
  <c r="AE54" i="17"/>
  <c r="Z54" i="17"/>
  <c r="AG28" i="8"/>
  <c r="AM36" i="9"/>
  <c r="T36" i="9"/>
  <c r="N36" i="9"/>
  <c r="N32" i="9"/>
  <c r="T32" i="9"/>
  <c r="AM32" i="9"/>
  <c r="N150" i="21"/>
  <c r="K150" i="21"/>
  <c r="AF149" i="16"/>
  <c r="AL45" i="7"/>
  <c r="AC70" i="23"/>
  <c r="AC18" i="23"/>
  <c r="AF18" i="8"/>
  <c r="AP18" i="8"/>
  <c r="AF59" i="23"/>
  <c r="AF7" i="23"/>
  <c r="AM34" i="8"/>
  <c r="T34" i="8"/>
  <c r="N34" i="8"/>
  <c r="N268" i="21"/>
  <c r="K268" i="21"/>
  <c r="T37" i="7"/>
  <c r="AM37" i="7"/>
  <c r="AF58" i="8"/>
  <c r="AM53" i="8"/>
  <c r="AE58" i="8"/>
  <c r="AB100" i="23"/>
  <c r="AB48" i="23"/>
  <c r="AB63" i="23"/>
  <c r="AB11" i="23"/>
  <c r="AK33" i="8"/>
  <c r="AK33" i="9"/>
  <c r="R28" i="28"/>
  <c r="AM46" i="7"/>
  <c r="U28" i="28"/>
  <c r="Z353" i="16"/>
  <c r="AF353" i="16"/>
  <c r="AF44" i="9"/>
  <c r="AP44" i="9"/>
  <c r="Z389" i="16"/>
  <c r="K389" i="21"/>
  <c r="N389" i="21"/>
  <c r="AF130" i="16"/>
  <c r="AJ40" i="7"/>
  <c r="AJ40" i="8"/>
  <c r="AL40" i="8"/>
  <c r="Z76" i="16"/>
  <c r="AF76" i="16"/>
  <c r="N351" i="21"/>
  <c r="K351" i="21"/>
  <c r="N107" i="21"/>
  <c r="K107" i="21"/>
  <c r="AJ42" i="6"/>
  <c r="N42" i="6"/>
  <c r="N42" i="7"/>
  <c r="T42" i="7"/>
  <c r="AO42" i="9"/>
  <c r="AE42" i="9"/>
  <c r="AG42" i="9"/>
  <c r="N30" i="6"/>
  <c r="N30" i="7"/>
  <c r="T30" i="7"/>
  <c r="AP30" i="9"/>
  <c r="AF30" i="9"/>
  <c r="Z408" i="16"/>
  <c r="AF408" i="16"/>
  <c r="N28" i="8"/>
  <c r="T28" i="8"/>
  <c r="AM28" i="8"/>
  <c r="AL46" i="8"/>
  <c r="AJ46" i="8"/>
  <c r="N274" i="21"/>
  <c r="K274" i="21"/>
  <c r="AF126" i="16"/>
  <c r="AE65" i="17"/>
  <c r="Z65" i="17"/>
  <c r="N175" i="21"/>
  <c r="K175" i="21"/>
  <c r="AG7" i="9"/>
  <c r="AE7" i="9"/>
  <c r="AO7" i="9"/>
  <c r="AP34" i="9"/>
  <c r="AF34" i="9"/>
  <c r="M47" i="21"/>
  <c r="J47" i="21"/>
  <c r="AP12" i="9"/>
  <c r="AF12" i="9"/>
  <c r="AG99" i="23"/>
  <c r="AG47" i="23"/>
  <c r="AB74" i="23"/>
  <c r="AB22" i="23"/>
  <c r="N298" i="21"/>
  <c r="K298" i="21"/>
  <c r="AF191" i="16"/>
  <c r="Z191" i="16"/>
  <c r="AG40" i="9"/>
  <c r="AE40" i="9"/>
  <c r="AJ40" i="6"/>
  <c r="N40" i="6"/>
  <c r="N40" i="7"/>
  <c r="T40" i="7"/>
  <c r="AO40" i="9"/>
  <c r="AC74" i="23"/>
  <c r="AC22" i="23"/>
  <c r="AF22" i="8"/>
  <c r="AP22" i="8"/>
  <c r="Z149" i="16"/>
  <c r="K149" i="21"/>
  <c r="N149" i="21"/>
  <c r="AM33" i="8"/>
  <c r="T33" i="8"/>
  <c r="N33" i="8"/>
  <c r="N152" i="21"/>
  <c r="K152" i="21"/>
  <c r="AE88" i="16"/>
  <c r="N47" i="8"/>
  <c r="T47" i="8"/>
  <c r="AM47" i="8"/>
  <c r="AL33" i="7"/>
  <c r="AL11" i="7"/>
  <c r="AK31" i="9"/>
  <c r="AK31" i="8"/>
  <c r="AF373" i="16"/>
  <c r="Z373" i="16"/>
  <c r="AK33" i="6"/>
  <c r="AK33" i="7"/>
  <c r="AG33" i="23"/>
  <c r="AG85" i="23"/>
  <c r="AE96" i="17"/>
  <c r="Z96" i="17"/>
  <c r="AE67" i="17"/>
  <c r="Z67" i="17"/>
  <c r="Z89" i="16"/>
  <c r="AF89" i="16"/>
  <c r="N6" i="8"/>
  <c r="T6" i="8"/>
  <c r="AM6" i="8"/>
  <c r="AP36" i="8"/>
  <c r="AF36" i="8"/>
  <c r="AC36" i="23"/>
  <c r="AC88" i="23"/>
  <c r="AL20" i="7"/>
  <c r="AL35" i="7"/>
  <c r="AO48" i="8"/>
  <c r="AE48" i="8"/>
  <c r="AG48" i="8"/>
  <c r="AL46" i="9"/>
  <c r="AJ46" i="9"/>
  <c r="Z130" i="16"/>
  <c r="K130" i="21"/>
  <c r="N130" i="21"/>
  <c r="AF12" i="16"/>
  <c r="AJ44" i="6"/>
  <c r="N44" i="6"/>
  <c r="N44" i="7"/>
  <c r="T44" i="7"/>
  <c r="AM44" i="7"/>
  <c r="AG76" i="23"/>
  <c r="AG24" i="23"/>
  <c r="N305" i="21"/>
  <c r="K305" i="21"/>
  <c r="AE14" i="17"/>
  <c r="Z14" i="17"/>
  <c r="AF352" i="16"/>
  <c r="AC103" i="23"/>
  <c r="AC51" i="23"/>
  <c r="AF51" i="8"/>
  <c r="AP51" i="8"/>
  <c r="AF159" i="16"/>
  <c r="AP33" i="9"/>
  <c r="AF33" i="9"/>
  <c r="Z126" i="16"/>
  <c r="K126" i="21"/>
  <c r="N126" i="21"/>
  <c r="F11" i="28"/>
  <c r="I11" i="28"/>
  <c r="AF360" i="16"/>
  <c r="AG95" i="23"/>
  <c r="AG43" i="23"/>
  <c r="AC84" i="23"/>
  <c r="AC32" i="23"/>
  <c r="AF32" i="8"/>
  <c r="AP32" i="8"/>
  <c r="AF203" i="16"/>
  <c r="Z203" i="16"/>
  <c r="AM28" i="7"/>
  <c r="N120" i="21"/>
  <c r="K120" i="21"/>
  <c r="N307" i="21"/>
  <c r="K307" i="21"/>
  <c r="AG18" i="9"/>
  <c r="AE18" i="9"/>
  <c r="AO18" i="9"/>
  <c r="N406" i="21"/>
  <c r="K406" i="21"/>
  <c r="N163" i="21"/>
  <c r="K163" i="21"/>
  <c r="AJ32" i="6"/>
  <c r="N32" i="6"/>
  <c r="N32" i="7"/>
  <c r="T32" i="7"/>
  <c r="AO32" i="9"/>
  <c r="AE32" i="9"/>
  <c r="AG32" i="9"/>
  <c r="AL6" i="9"/>
  <c r="AJ6" i="9"/>
  <c r="T39" i="7"/>
  <c r="AP39" i="9"/>
  <c r="AF39" i="9"/>
  <c r="AM39" i="8"/>
  <c r="T39" i="8"/>
  <c r="N39" i="6"/>
  <c r="N39" i="7"/>
  <c r="N39" i="8"/>
  <c r="AL25" i="7"/>
  <c r="AM27" i="9"/>
  <c r="T27" i="9"/>
  <c r="N27" i="6"/>
  <c r="N27" i="7"/>
  <c r="N27" i="9"/>
  <c r="Y88" i="16"/>
  <c r="J88" i="21"/>
  <c r="M88" i="21"/>
  <c r="AE111" i="17"/>
  <c r="Z111" i="17"/>
  <c r="AF393" i="16"/>
  <c r="AF35" i="9"/>
  <c r="AP35" i="9"/>
  <c r="AL24" i="7"/>
  <c r="AK31" i="6"/>
  <c r="AK31" i="7"/>
  <c r="AG31" i="23"/>
  <c r="AG83" i="23"/>
  <c r="Z331" i="16"/>
  <c r="K331" i="21"/>
  <c r="N331" i="21"/>
  <c r="U5" i="28"/>
  <c r="R5" i="28"/>
  <c r="AJ50" i="9"/>
  <c r="AL50" i="9"/>
  <c r="Z361" i="16"/>
  <c r="K361" i="21"/>
  <c r="N361" i="21"/>
  <c r="AE75" i="17"/>
  <c r="Z75" i="17"/>
  <c r="Z289" i="16"/>
  <c r="AF289" i="16"/>
  <c r="Z107" i="16"/>
  <c r="AF107" i="16"/>
  <c r="AL18" i="7"/>
  <c r="AL30" i="7"/>
  <c r="AB86" i="23"/>
  <c r="AB34" i="23"/>
  <c r="AJ20" i="7"/>
  <c r="AJ20" i="9"/>
  <c r="AL20" i="9"/>
  <c r="AJ35" i="7"/>
  <c r="AJ35" i="9"/>
  <c r="AL35" i="9"/>
  <c r="AM29" i="9"/>
  <c r="N29" i="6"/>
  <c r="N29" i="7"/>
  <c r="N29" i="9"/>
  <c r="T29" i="9"/>
  <c r="AF267" i="16"/>
  <c r="Z267" i="16"/>
  <c r="N6" i="23"/>
  <c r="N58" i="23"/>
  <c r="Z12" i="16"/>
  <c r="K12" i="21"/>
  <c r="N12" i="21"/>
  <c r="AE56" i="17"/>
  <c r="Z56" i="17"/>
  <c r="AK24" i="8"/>
  <c r="AK24" i="6"/>
  <c r="AK24" i="7"/>
  <c r="AK24" i="9"/>
  <c r="Z305" i="16"/>
  <c r="AF305" i="16"/>
  <c r="AJ18" i="8"/>
  <c r="AL18" i="8"/>
  <c r="AG48" i="9"/>
  <c r="AE48" i="9"/>
  <c r="AO48" i="9"/>
  <c r="Z352" i="16"/>
  <c r="K352" i="21"/>
  <c r="N352" i="21"/>
  <c r="N261" i="21"/>
  <c r="K261" i="21"/>
  <c r="N244" i="21"/>
  <c r="K244" i="21"/>
  <c r="AF246" i="16"/>
  <c r="Z246" i="16"/>
  <c r="Z159" i="16"/>
  <c r="K159" i="21"/>
  <c r="N159" i="21"/>
  <c r="AK43" i="9"/>
  <c r="AK43" i="6"/>
  <c r="AK43" i="7"/>
  <c r="AK43" i="8"/>
  <c r="Z307" i="16"/>
  <c r="AF307" i="16"/>
  <c r="AO11" i="8"/>
  <c r="AE11" i="8"/>
  <c r="AG11" i="8"/>
  <c r="AL51" i="7"/>
  <c r="AF139" i="16"/>
  <c r="Z406" i="16"/>
  <c r="AF406" i="16"/>
  <c r="AG68" i="23"/>
  <c r="AG16" i="23"/>
  <c r="AL27" i="7"/>
  <c r="AF118" i="16"/>
  <c r="AE15" i="17"/>
  <c r="Z15" i="17"/>
  <c r="AE37" i="17"/>
  <c r="Z37" i="17"/>
  <c r="N173" i="21"/>
  <c r="K173" i="21"/>
  <c r="AC73" i="23"/>
  <c r="AC21" i="23"/>
  <c r="AP21" i="8"/>
  <c r="AF21" i="8"/>
  <c r="AF262" i="16"/>
  <c r="Z262" i="16"/>
  <c r="AF133" i="16"/>
  <c r="N291" i="21"/>
  <c r="K291" i="21"/>
  <c r="N410" i="21"/>
  <c r="K410" i="21"/>
  <c r="AL9" i="7"/>
  <c r="N290" i="21"/>
  <c r="K290" i="21"/>
  <c r="AC66" i="23"/>
  <c r="AC14" i="23"/>
  <c r="AF14" i="8"/>
  <c r="AJ14" i="6"/>
  <c r="N14" i="6"/>
  <c r="N14" i="7"/>
  <c r="T14" i="7"/>
  <c r="AP14" i="8"/>
  <c r="AF52" i="16"/>
  <c r="N15" i="21"/>
  <c r="K15" i="21"/>
  <c r="Z122" i="16"/>
  <c r="AF122" i="16"/>
  <c r="AF230" i="16"/>
  <c r="Z230" i="16"/>
  <c r="U7" i="28"/>
  <c r="R7" i="28"/>
  <c r="AJ18" i="7"/>
  <c r="AJ18" i="9"/>
  <c r="AL18" i="9"/>
  <c r="E5" i="28"/>
  <c r="E7" i="28"/>
  <c r="H5" i="28"/>
  <c r="H7" i="28"/>
  <c r="AF229" i="16"/>
  <c r="Z229" i="16"/>
  <c r="AF18" i="9"/>
  <c r="AP18" i="9"/>
  <c r="AF268" i="16"/>
  <c r="Z268" i="16"/>
  <c r="AL36" i="9"/>
  <c r="AJ36" i="9"/>
  <c r="AJ30" i="7"/>
  <c r="AJ30" i="9"/>
  <c r="AL30" i="9"/>
  <c r="T34" i="7"/>
  <c r="AO34" i="8"/>
  <c r="AE34" i="8"/>
  <c r="AG34" i="8"/>
  <c r="AF225" i="16"/>
  <c r="Z225" i="16"/>
  <c r="R18" i="28"/>
  <c r="AJ35" i="6"/>
  <c r="N35" i="6"/>
  <c r="N35" i="7"/>
  <c r="T35" i="7"/>
  <c r="AM35" i="7"/>
  <c r="U18" i="28"/>
  <c r="N197" i="21"/>
  <c r="K197" i="21"/>
  <c r="N53" i="21"/>
  <c r="K53" i="21"/>
  <c r="N201" i="21"/>
  <c r="K201" i="21"/>
  <c r="Z360" i="16"/>
  <c r="K360" i="21"/>
  <c r="N360" i="21"/>
  <c r="AJ5" i="7"/>
  <c r="AF5" i="23"/>
  <c r="AF57" i="23"/>
  <c r="V11" i="25"/>
  <c r="Z162" i="16"/>
  <c r="AF162" i="16"/>
  <c r="N263" i="21"/>
  <c r="K263" i="21"/>
  <c r="Z282" i="16"/>
  <c r="K282" i="21"/>
  <c r="N282" i="21"/>
  <c r="N21" i="9"/>
  <c r="T21" i="9"/>
  <c r="AM21" i="9"/>
  <c r="AJ51" i="7"/>
  <c r="AF51" i="23"/>
  <c r="AF103" i="23"/>
  <c r="Z163" i="16"/>
  <c r="AF163" i="16"/>
  <c r="N270" i="21"/>
  <c r="K270" i="21"/>
  <c r="N230" i="21"/>
  <c r="K230" i="21"/>
  <c r="AE100" i="17"/>
  <c r="Z100" i="17"/>
  <c r="AF88" i="23"/>
  <c r="AF36" i="23"/>
  <c r="Z18" i="16"/>
  <c r="AF18" i="16"/>
  <c r="AK16" i="9"/>
  <c r="AK7" i="6"/>
  <c r="AK55" i="6"/>
  <c r="AK60" i="6"/>
  <c r="AK16" i="7"/>
  <c r="AK16" i="8"/>
  <c r="Z118" i="16"/>
  <c r="K118" i="21"/>
  <c r="N118" i="21"/>
  <c r="N91" i="21"/>
  <c r="K91" i="21"/>
  <c r="Q35" i="28"/>
  <c r="T16" i="7"/>
  <c r="AM16" i="7"/>
  <c r="T35" i="28"/>
  <c r="AF239" i="16"/>
  <c r="Z239" i="16"/>
  <c r="N277" i="21"/>
  <c r="K277" i="21"/>
  <c r="AM15" i="8"/>
  <c r="T15" i="8"/>
  <c r="N15" i="8"/>
  <c r="AL10" i="9"/>
  <c r="AJ10" i="9"/>
  <c r="AF368" i="16"/>
  <c r="AJ12" i="7"/>
  <c r="AL12" i="7"/>
  <c r="AJ9" i="8"/>
  <c r="AL9" i="8"/>
  <c r="AE70" i="17"/>
  <c r="Z70" i="17"/>
  <c r="AF116" i="16"/>
  <c r="N314" i="21"/>
  <c r="K314" i="21"/>
  <c r="M50" i="21"/>
  <c r="J50" i="21"/>
  <c r="AL47" i="7"/>
  <c r="AA7" i="21"/>
  <c r="AJ50" i="7"/>
  <c r="AF50" i="23"/>
  <c r="AF102" i="23"/>
  <c r="AO22" i="8"/>
  <c r="AE22" i="8"/>
  <c r="AG22" i="8"/>
  <c r="AL17" i="7"/>
  <c r="AL39" i="7"/>
  <c r="Z400" i="16"/>
  <c r="K400" i="21"/>
  <c r="N400" i="21"/>
  <c r="AE76" i="17"/>
  <c r="Z76" i="17"/>
  <c r="AK46" i="9"/>
  <c r="AK46" i="8"/>
  <c r="AP24" i="9"/>
  <c r="AF24" i="9"/>
  <c r="AE40" i="16"/>
  <c r="AF27" i="16"/>
  <c r="AF204" i="16"/>
  <c r="Z204" i="16"/>
  <c r="Y23" i="16"/>
  <c r="AE23" i="16"/>
  <c r="AO36" i="8"/>
  <c r="AE36" i="8"/>
  <c r="AB36" i="23"/>
  <c r="AB88" i="23"/>
  <c r="T17" i="7"/>
  <c r="AM17" i="7"/>
  <c r="Z133" i="16"/>
  <c r="K133" i="21"/>
  <c r="N133" i="21"/>
  <c r="AE58" i="17"/>
  <c r="Z58" i="17"/>
  <c r="Z368" i="16"/>
  <c r="K368" i="21"/>
  <c r="N368" i="21"/>
  <c r="AG8" i="8"/>
  <c r="AJ25" i="6"/>
  <c r="AJ25" i="7"/>
  <c r="AJ25" i="9"/>
  <c r="AL25" i="9"/>
  <c r="AE11" i="17"/>
  <c r="Z11" i="17"/>
  <c r="N191" i="21"/>
  <c r="K191" i="21"/>
  <c r="AL2" i="16"/>
  <c r="N210" i="21"/>
  <c r="K210" i="21"/>
  <c r="AK53" i="8"/>
  <c r="AK30" i="9"/>
  <c r="AK30" i="8"/>
  <c r="N86" i="23"/>
  <c r="AJ34" i="6"/>
  <c r="N34" i="6"/>
  <c r="N34" i="7"/>
  <c r="N34" i="23"/>
  <c r="N217" i="21"/>
  <c r="K217" i="21"/>
  <c r="AB103" i="23"/>
  <c r="AB51" i="23"/>
  <c r="N213" i="21"/>
  <c r="K213" i="21"/>
  <c r="AL26" i="7"/>
  <c r="Z393" i="16"/>
  <c r="K393" i="21"/>
  <c r="N393" i="21"/>
  <c r="U33" i="28"/>
  <c r="R33" i="28"/>
  <c r="Z116" i="16"/>
  <c r="K116" i="21"/>
  <c r="N116" i="21"/>
  <c r="Z113" i="16"/>
  <c r="K113" i="21"/>
  <c r="N113" i="21"/>
  <c r="N16" i="7"/>
  <c r="N16" i="8"/>
  <c r="T16" i="8"/>
  <c r="AM16" i="8"/>
  <c r="N94" i="21"/>
  <c r="K94" i="21"/>
  <c r="N254" i="21"/>
  <c r="K254" i="21"/>
  <c r="N7" i="23"/>
  <c r="N59" i="23"/>
  <c r="AJ47" i="8"/>
  <c r="AL47" i="8"/>
  <c r="AJ29" i="6"/>
  <c r="AJ29" i="7"/>
  <c r="AF29" i="23"/>
  <c r="AF81" i="23"/>
  <c r="J2" i="21"/>
  <c r="M2" i="21"/>
  <c r="U7" i="21"/>
  <c r="AI7" i="21"/>
  <c r="AJ27" i="6"/>
  <c r="AJ27" i="7"/>
  <c r="AJ27" i="8"/>
  <c r="AL27" i="8"/>
  <c r="AJ47" i="7"/>
  <c r="AF47" i="23"/>
  <c r="AF99" i="23"/>
  <c r="T34" i="28"/>
  <c r="N15" i="7"/>
  <c r="T15" i="7"/>
  <c r="AM15" i="7"/>
  <c r="Q34" i="28"/>
  <c r="AJ9" i="7"/>
  <c r="AJ9" i="9"/>
  <c r="AL9" i="9"/>
  <c r="AK20" i="8"/>
  <c r="AK20" i="6"/>
  <c r="AK20" i="7"/>
  <c r="AK20" i="9"/>
  <c r="AF210" i="16"/>
  <c r="Z210" i="16"/>
  <c r="AE38" i="17"/>
  <c r="Z38" i="17"/>
  <c r="AJ17" i="7"/>
  <c r="AF17" i="23"/>
  <c r="AF69" i="23"/>
  <c r="AJ39" i="6"/>
  <c r="AJ39" i="7"/>
  <c r="AJ39" i="9"/>
  <c r="AL39" i="9"/>
  <c r="Z143" i="16"/>
  <c r="AF143" i="16"/>
  <c r="AK46" i="6"/>
  <c r="AK46" i="7"/>
  <c r="AG46" i="23"/>
  <c r="AG98" i="23"/>
  <c r="AF391" i="16"/>
  <c r="AJ6" i="7"/>
  <c r="AL6" i="7"/>
  <c r="AF216" i="16"/>
  <c r="Z216" i="16"/>
  <c r="AE28" i="17"/>
  <c r="Z28" i="17"/>
  <c r="Y40" i="16"/>
  <c r="J40" i="21"/>
  <c r="M40" i="21"/>
  <c r="AJ12" i="6"/>
  <c r="N12" i="6"/>
  <c r="N12" i="7"/>
  <c r="T12" i="7"/>
  <c r="AM12" i="7"/>
  <c r="Z27" i="16"/>
  <c r="K27" i="21"/>
  <c r="N27" i="21"/>
  <c r="AL53" i="9"/>
  <c r="T5" i="7"/>
  <c r="AM5" i="7"/>
  <c r="Y18" i="16"/>
  <c r="AE18" i="16"/>
  <c r="AE43" i="17"/>
  <c r="Z43" i="17"/>
  <c r="AJ10" i="7"/>
  <c r="AL10" i="7"/>
  <c r="AO8" i="8"/>
  <c r="AE8" i="8"/>
  <c r="AB8" i="23"/>
  <c r="AB60" i="23"/>
  <c r="Z410" i="16"/>
  <c r="AF410" i="16"/>
  <c r="AE83" i="17"/>
  <c r="Z83" i="17"/>
  <c r="Z298" i="16"/>
  <c r="AF298" i="16"/>
  <c r="N6" i="7"/>
  <c r="T6" i="7"/>
  <c r="AM6" i="7"/>
  <c r="Y2" i="16"/>
  <c r="AE2" i="16"/>
  <c r="AK2" i="16"/>
  <c r="AK7" i="16"/>
  <c r="AL7" i="16"/>
  <c r="N117" i="21"/>
  <c r="K117" i="21"/>
  <c r="AJ55" i="6"/>
  <c r="AJ60" i="6"/>
  <c r="AJ15" i="7"/>
  <c r="AL15" i="7"/>
  <c r="AJ30" i="6"/>
  <c r="AK30" i="6"/>
  <c r="AK30" i="7"/>
  <c r="AG30" i="23"/>
  <c r="AG82" i="23"/>
  <c r="Z52" i="16"/>
  <c r="K52" i="21"/>
  <c r="N52" i="21"/>
  <c r="Z278" i="16"/>
  <c r="AF278" i="16"/>
  <c r="AJ26" i="7"/>
  <c r="AJ26" i="8"/>
  <c r="AL26" i="8"/>
  <c r="AM43" i="7"/>
  <c r="F6" i="28"/>
  <c r="F5" i="28"/>
  <c r="I5" i="28"/>
  <c r="I6" i="28"/>
  <c r="Z117" i="16"/>
  <c r="AF117" i="16"/>
  <c r="AF112" i="16"/>
  <c r="Z15" i="16"/>
  <c r="AF15" i="16"/>
  <c r="N20" i="21"/>
  <c r="K20" i="21"/>
  <c r="AP19" i="9"/>
  <c r="AF19" i="9"/>
  <c r="AM11" i="8"/>
  <c r="T11" i="8"/>
  <c r="N11" i="8"/>
  <c r="U19" i="28"/>
  <c r="T36" i="7"/>
  <c r="AM36" i="7"/>
  <c r="R19" i="28"/>
  <c r="N236" i="21"/>
  <c r="K236" i="21"/>
  <c r="N46" i="6"/>
  <c r="N46" i="7"/>
  <c r="T46" i="7"/>
  <c r="AP46" i="8"/>
  <c r="AF46" i="8"/>
  <c r="AC46" i="23"/>
  <c r="AC98" i="23"/>
  <c r="AF405" i="16"/>
  <c r="Z138" i="16"/>
  <c r="AF138" i="16"/>
  <c r="AJ38" i="7"/>
  <c r="AF38" i="23"/>
  <c r="AF90" i="23"/>
  <c r="AJ28" i="6"/>
  <c r="N28" i="6"/>
  <c r="N28" i="7"/>
  <c r="T28" i="7"/>
  <c r="AO28" i="8"/>
  <c r="AE28" i="8"/>
  <c r="AB28" i="23"/>
  <c r="AB80" i="23"/>
  <c r="N63" i="23"/>
  <c r="N11" i="23"/>
  <c r="AL41" i="7"/>
  <c r="N37" i="8"/>
  <c r="T37" i="8"/>
  <c r="AM37" i="8"/>
  <c r="Z277" i="16"/>
  <c r="AF277" i="16"/>
  <c r="AK48" i="6"/>
  <c r="AK48" i="7"/>
  <c r="AG48" i="23"/>
  <c r="AG100" i="23"/>
  <c r="AG26" i="8"/>
  <c r="N392" i="21"/>
  <c r="K392" i="21"/>
  <c r="AF264" i="16"/>
  <c r="Z264" i="16"/>
  <c r="T49" i="7"/>
  <c r="AP49" i="9"/>
  <c r="AF49" i="9"/>
  <c r="Y47" i="16"/>
  <c r="AE47" i="16"/>
  <c r="N265" i="21"/>
  <c r="K265" i="21"/>
  <c r="Z290" i="16"/>
  <c r="AF290" i="16"/>
  <c r="N164" i="21"/>
  <c r="K164" i="21"/>
  <c r="Z321" i="16"/>
  <c r="AF321" i="16"/>
  <c r="N36" i="8"/>
  <c r="T36" i="8"/>
  <c r="AM36" i="8"/>
  <c r="AJ45" i="7"/>
  <c r="AJ45" i="9"/>
  <c r="AL45" i="9"/>
  <c r="AF302" i="16"/>
  <c r="N22" i="23"/>
  <c r="N74" i="23"/>
  <c r="N257" i="21"/>
  <c r="K257" i="21"/>
  <c r="U6" i="28"/>
  <c r="R6" i="28"/>
  <c r="AL19" i="7"/>
  <c r="F10" i="28"/>
  <c r="I10" i="28"/>
  <c r="N404" i="21"/>
  <c r="K404" i="21"/>
  <c r="T43" i="7"/>
  <c r="AO43" i="9"/>
  <c r="AE43" i="9"/>
  <c r="AG43" i="9"/>
  <c r="AF411" i="16"/>
  <c r="AJ24" i="7"/>
  <c r="AJ24" i="9"/>
  <c r="AL24" i="9"/>
  <c r="Z403" i="16"/>
  <c r="AF403" i="16"/>
  <c r="AJ33" i="7"/>
  <c r="AJ33" i="9"/>
  <c r="AL33" i="9"/>
  <c r="L63" i="6"/>
  <c r="AJ11" i="7"/>
  <c r="AJ11" i="9"/>
  <c r="AL11" i="9"/>
  <c r="Z370" i="16"/>
  <c r="AF370" i="16"/>
  <c r="Z139" i="16"/>
  <c r="K139" i="21"/>
  <c r="N139" i="21"/>
  <c r="AJ43" i="6"/>
  <c r="N43" i="6"/>
  <c r="N43" i="7"/>
  <c r="N43" i="23"/>
  <c r="N95" i="23"/>
  <c r="Z152" i="16"/>
  <c r="AF152" i="16"/>
  <c r="E12" i="28"/>
  <c r="H12" i="28"/>
  <c r="H9" i="28"/>
  <c r="E9" i="28"/>
  <c r="AG73" i="23"/>
  <c r="AG21" i="23"/>
  <c r="Z53" i="16"/>
  <c r="AF53" i="16"/>
  <c r="T41" i="7"/>
  <c r="AO41" i="8"/>
  <c r="AE41" i="8"/>
  <c r="AB41" i="23"/>
  <c r="AB93" i="23"/>
  <c r="Z294" i="16"/>
  <c r="AF294" i="16"/>
  <c r="N262" i="21"/>
  <c r="K262" i="21"/>
  <c r="AO47" i="9"/>
  <c r="AE47" i="9"/>
  <c r="AG47" i="9"/>
  <c r="AE83" i="16"/>
  <c r="Z351" i="16"/>
  <c r="AF351" i="16"/>
  <c r="AC90" i="23"/>
  <c r="T38" i="7"/>
  <c r="AP38" i="8"/>
  <c r="AF38" i="8"/>
  <c r="AC38" i="23"/>
  <c r="AF174" i="16"/>
  <c r="Z174" i="16"/>
  <c r="Z392" i="16"/>
  <c r="AF392" i="16"/>
  <c r="N25" i="21"/>
  <c r="K25" i="21"/>
  <c r="Z405" i="16"/>
  <c r="K405" i="21"/>
  <c r="N405" i="21"/>
  <c r="AF224" i="16"/>
  <c r="AJ41" i="7"/>
  <c r="AJ41" i="9"/>
  <c r="AL41" i="9"/>
  <c r="AF417" i="16"/>
  <c r="U29" i="28"/>
  <c r="N47" i="6"/>
  <c r="N47" i="7"/>
  <c r="T47" i="7"/>
  <c r="AM47" i="7"/>
  <c r="R29" i="28"/>
  <c r="AO26" i="8"/>
  <c r="AE26" i="8"/>
  <c r="AB26" i="23"/>
  <c r="AB78" i="23"/>
  <c r="AF252" i="16"/>
  <c r="Z252" i="16"/>
  <c r="AJ26" i="6"/>
  <c r="N26" i="6"/>
  <c r="N26" i="7"/>
  <c r="T26" i="7"/>
  <c r="AP26" i="8"/>
  <c r="AF26" i="8"/>
  <c r="AC26" i="23"/>
  <c r="AC78" i="23"/>
  <c r="N61" i="21"/>
  <c r="K61" i="21"/>
  <c r="AF271" i="16"/>
  <c r="Z271" i="16"/>
  <c r="AJ41" i="6"/>
  <c r="N41" i="6"/>
  <c r="N41" i="7"/>
  <c r="N41" i="23"/>
  <c r="N93" i="23"/>
  <c r="Z164" i="16"/>
  <c r="AF164" i="16"/>
  <c r="Z302" i="16"/>
  <c r="K302" i="21"/>
  <c r="N302" i="21"/>
  <c r="AM31" i="9"/>
  <c r="AJ31" i="6"/>
  <c r="N31" i="6"/>
  <c r="N31" i="7"/>
  <c r="N31" i="9"/>
  <c r="T31" i="9"/>
  <c r="AJ19" i="7"/>
  <c r="AJ19" i="9"/>
  <c r="AL19" i="9"/>
  <c r="AF200" i="16"/>
  <c r="Z200" i="16"/>
  <c r="AE6" i="17"/>
  <c r="Z6" i="17"/>
  <c r="AF134" i="16"/>
  <c r="Z404" i="16"/>
  <c r="AF404" i="16"/>
  <c r="N9" i="7"/>
  <c r="T9" i="7"/>
  <c r="AP9" i="8"/>
  <c r="AF9" i="8"/>
  <c r="AC9" i="23"/>
  <c r="AC61" i="23"/>
  <c r="AF19" i="16"/>
  <c r="AP45" i="8"/>
  <c r="AF45" i="8"/>
  <c r="AC45" i="23"/>
  <c r="AC97" i="23"/>
  <c r="Z411" i="16"/>
  <c r="K411" i="21"/>
  <c r="N411" i="21"/>
  <c r="K258" i="21"/>
  <c r="N258" i="21"/>
  <c r="R11" i="28"/>
  <c r="U11" i="28"/>
  <c r="AO33" i="9"/>
  <c r="AE33" i="9"/>
  <c r="AG33" i="9"/>
  <c r="AF97" i="16"/>
  <c r="N53" i="9"/>
  <c r="AF199" i="16"/>
  <c r="Z199" i="16"/>
  <c r="K189" i="21"/>
  <c r="N189" i="21"/>
  <c r="AK21" i="9"/>
  <c r="AK21" i="6"/>
  <c r="AK21" i="7"/>
  <c r="AK21" i="8"/>
  <c r="AJ18" i="6"/>
  <c r="N18" i="6"/>
  <c r="N18" i="7"/>
  <c r="T18" i="7"/>
  <c r="AM18" i="7"/>
  <c r="Z120" i="16"/>
  <c r="AF120" i="16"/>
  <c r="Z91" i="16"/>
  <c r="AF91" i="16"/>
  <c r="R27" i="28"/>
  <c r="U27" i="28"/>
  <c r="AJ36" i="7"/>
  <c r="AL36" i="7"/>
  <c r="Z357" i="16"/>
  <c r="AF357" i="16"/>
  <c r="AJ36" i="6"/>
  <c r="N36" i="6"/>
  <c r="N36" i="7"/>
  <c r="N36" i="23"/>
  <c r="N88" i="23"/>
  <c r="Y83" i="16"/>
  <c r="J83" i="21"/>
  <c r="M83" i="21"/>
  <c r="N17" i="8"/>
  <c r="T17" i="8"/>
  <c r="AM17" i="8"/>
  <c r="AK47" i="8"/>
  <c r="AJ47" i="6"/>
  <c r="AK47" i="6"/>
  <c r="AK47" i="7"/>
  <c r="AK47" i="9"/>
  <c r="R31" i="28"/>
  <c r="U31" i="28"/>
  <c r="K252" i="21"/>
  <c r="N252" i="21"/>
  <c r="Z391" i="16"/>
  <c r="K391" i="21"/>
  <c r="N391" i="21"/>
  <c r="Z25" i="16"/>
  <c r="AF25" i="16"/>
  <c r="AF22" i="9"/>
  <c r="AP22" i="9"/>
  <c r="AM24" i="7"/>
  <c r="Z224" i="16"/>
  <c r="K218" i="21"/>
  <c r="N218" i="21"/>
  <c r="AF202" i="16"/>
  <c r="Z202" i="16"/>
  <c r="N10" i="7"/>
  <c r="T10" i="7"/>
  <c r="AM10" i="7"/>
  <c r="Y50" i="16"/>
  <c r="AE50" i="16"/>
  <c r="AM51" i="7"/>
  <c r="Z417" i="16"/>
  <c r="K417" i="21"/>
  <c r="N417" i="21"/>
  <c r="Z155" i="16"/>
  <c r="AF155" i="16"/>
  <c r="AJ23" i="6"/>
  <c r="N23" i="6"/>
  <c r="N23" i="7"/>
  <c r="T23" i="7"/>
  <c r="AM23" i="7"/>
  <c r="Z39" i="17"/>
  <c r="AE39" i="17"/>
  <c r="Z173" i="16"/>
  <c r="AF173" i="16"/>
  <c r="Z20" i="16"/>
  <c r="AF20" i="16"/>
  <c r="AJ19" i="6"/>
  <c r="N19" i="6"/>
  <c r="N19" i="7"/>
  <c r="T19" i="7"/>
  <c r="AM19" i="7"/>
  <c r="Z112" i="16"/>
  <c r="K112" i="21"/>
  <c r="N112" i="21"/>
  <c r="AP8" i="9"/>
  <c r="AF8" i="9"/>
  <c r="Z150" i="16"/>
  <c r="AF150" i="16"/>
  <c r="Z61" i="16"/>
  <c r="AF61" i="16"/>
  <c r="Z21" i="17"/>
  <c r="AE21" i="17"/>
  <c r="Z137" i="16"/>
  <c r="K137" i="21"/>
  <c r="N137" i="21"/>
  <c r="Z388" i="16"/>
  <c r="AF388" i="16"/>
  <c r="R9" i="28"/>
  <c r="U9" i="28"/>
  <c r="AJ45" i="6"/>
  <c r="N45" i="6"/>
  <c r="N45" i="7"/>
  <c r="T45" i="7"/>
  <c r="AM45" i="7"/>
  <c r="Z291" i="16"/>
  <c r="AF291" i="16"/>
  <c r="N37" i="6"/>
  <c r="N37" i="7"/>
  <c r="N37" i="23"/>
  <c r="N89" i="23"/>
  <c r="AJ38" i="6"/>
  <c r="N38" i="6"/>
  <c r="N38" i="7"/>
  <c r="N38" i="8"/>
  <c r="T38" i="8"/>
  <c r="AM38" i="8"/>
  <c r="K273" i="21"/>
  <c r="N273" i="21"/>
  <c r="AF207" i="16"/>
  <c r="Z207" i="16"/>
  <c r="N7" i="7"/>
  <c r="T7" i="7"/>
  <c r="AM7" i="7"/>
  <c r="Z19" i="16"/>
  <c r="K19" i="21"/>
  <c r="N19" i="21"/>
  <c r="R26" i="28"/>
  <c r="U16" i="28"/>
  <c r="R16" i="28"/>
  <c r="U21" i="28"/>
  <c r="U26" i="28"/>
  <c r="AJ33" i="6"/>
  <c r="N33" i="6"/>
  <c r="N33" i="7"/>
  <c r="T33" i="7"/>
  <c r="AM33" i="7"/>
  <c r="R21" i="28"/>
  <c r="AJ49" i="6"/>
  <c r="N49" i="6"/>
  <c r="N49" i="7"/>
  <c r="N49" i="23"/>
  <c r="N101" i="23"/>
  <c r="AJ20" i="6"/>
  <c r="N20" i="6"/>
  <c r="N20" i="7"/>
  <c r="T20" i="7"/>
  <c r="AM20" i="7"/>
  <c r="Z134" i="16"/>
  <c r="K253" i="21"/>
  <c r="N253" i="21"/>
  <c r="AJ7" i="7"/>
  <c r="AL7" i="7"/>
  <c r="U32" i="28"/>
  <c r="R32" i="28"/>
  <c r="I7" i="28"/>
  <c r="F7" i="28"/>
  <c r="I8" i="28"/>
  <c r="AJ8" i="6"/>
  <c r="N8" i="6"/>
  <c r="N8" i="7"/>
  <c r="T8" i="7"/>
  <c r="AM8" i="7"/>
  <c r="F8" i="28"/>
  <c r="AJ48" i="6"/>
  <c r="N48" i="6"/>
  <c r="N48" i="7"/>
  <c r="T48" i="7"/>
  <c r="AM48" i="7"/>
  <c r="Z314" i="16"/>
  <c r="AF314" i="16"/>
  <c r="AJ46" i="6"/>
  <c r="AJ46" i="7"/>
  <c r="AL46" i="7"/>
  <c r="AJ37" i="6"/>
  <c r="AJ37" i="7"/>
  <c r="AL37" i="7"/>
  <c r="AJ21" i="6"/>
  <c r="N21" i="6"/>
  <c r="N21" i="7"/>
  <c r="T21" i="7"/>
  <c r="AM21" i="7"/>
  <c r="Z189" i="16"/>
  <c r="AF189" i="16"/>
  <c r="AJ51" i="6"/>
  <c r="N51" i="6"/>
  <c r="N51" i="7"/>
  <c r="T51" i="7"/>
  <c r="AO51" i="8"/>
  <c r="AE51" i="8"/>
  <c r="AG51" i="8"/>
  <c r="Z97" i="16"/>
  <c r="K97" i="21"/>
  <c r="N97" i="21"/>
  <c r="AG24" i="8"/>
  <c r="AJ50" i="6"/>
  <c r="N50" i="6"/>
  <c r="N50" i="7"/>
  <c r="T50" i="7"/>
  <c r="AM50" i="7"/>
  <c r="Z395" i="16"/>
  <c r="AF395" i="16"/>
  <c r="AB12" i="21"/>
  <c r="AJ22" i="6"/>
  <c r="N22" i="6"/>
  <c r="N22" i="7"/>
  <c r="T22" i="7"/>
  <c r="AM22" i="7"/>
  <c r="Z194" i="16"/>
  <c r="AF194" i="16"/>
  <c r="AJ11" i="6"/>
  <c r="N11" i="6"/>
  <c r="N11" i="7"/>
  <c r="T11" i="7"/>
  <c r="AM11" i="7"/>
  <c r="Z94" i="16"/>
  <c r="AF94" i="16"/>
  <c r="N63" i="6"/>
  <c r="AJ7" i="6"/>
  <c r="N7" i="6"/>
  <c r="N55" i="6"/>
  <c r="N60" i="6"/>
  <c r="N5" i="7"/>
  <c r="N5" i="9"/>
  <c r="T5" i="9"/>
  <c r="AM5" i="9"/>
  <c r="T53" i="9"/>
  <c r="AJ17" i="6"/>
  <c r="N17" i="6"/>
  <c r="N17" i="7"/>
  <c r="L66" i="6"/>
  <c r="L64" i="6"/>
  <c r="L70" i="6"/>
  <c r="N64" i="6"/>
  <c r="AJ24" i="6"/>
  <c r="N24" i="6"/>
  <c r="N24" i="7"/>
  <c r="T24" i="7"/>
  <c r="AO24" i="8"/>
  <c r="AE24" i="8"/>
  <c r="AB24" i="23"/>
  <c r="AB76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5F7F891C-EE4A-4A74-9A8E-7F511F4348B1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1B9E8-34DE-440F-842D-9355FA67FDB9}" name="Conexão" type="7" refreshedVersion="8" background="1" saveData="1"/>
  <connection id="2" xr16:uid="{587B92F8-3382-4FED-A3EC-9F84CD4BF313}" name="Conexão1" type="7" refreshedVersion="8" background="1" saveData="1"/>
  <connection id="3" xr16:uid="{09BCF6E0-C941-44EB-9CD0-7E38E68001B9}" name="Conexão2" type="7" refreshedVersion="8" background="1" saveData="1"/>
</connections>
</file>

<file path=xl/sharedStrings.xml><?xml version="1.0" encoding="utf-8"?>
<sst xmlns="http://schemas.openxmlformats.org/spreadsheetml/2006/main" count="20084" uniqueCount="1182">
  <si>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</si>
  <si>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</si>
  <si>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</si>
  <si>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</si>
  <si>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</si>
  <si>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</si>
  <si>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</si>
  <si>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</si>
  <si>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</si>
  <si>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</si>
  <si>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</si>
  <si>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</si>
  <si>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</si>
  <si>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</si>
  <si>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</si>
  <si>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</si>
  <si>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</si>
  <si>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</si>
  <si>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</si>
  <si>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</si>
  <si>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</si>
  <si>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</si>
  <si>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</si>
  <si>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</si>
  <si>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</si>
  <si>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</si>
  <si>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</si>
  <si>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</si>
  <si>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</si>
  <si>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</si>
  <si>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</si>
  <si>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</si>
  <si>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</si>
  <si>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Branca</t>
  </si>
  <si>
    <t>Fora ponta</t>
  </si>
  <si>
    <t>B3</t>
  </si>
  <si>
    <t>Industrial</t>
  </si>
  <si>
    <t>A4</t>
  </si>
  <si>
    <t>Verde</t>
  </si>
  <si>
    <t>Ponta</t>
  </si>
  <si>
    <t>Comercial</t>
  </si>
  <si>
    <t>Azul</t>
  </si>
  <si>
    <t>Intermediário</t>
  </si>
  <si>
    <t>B2</t>
  </si>
  <si>
    <t>Rural</t>
  </si>
  <si>
    <t>Poder público</t>
  </si>
  <si>
    <t>B4</t>
  </si>
  <si>
    <t>Iluminação pública</t>
  </si>
  <si>
    <t>Iluminação pública – B4a</t>
  </si>
  <si>
    <t>Iluminação pública – B4b</t>
  </si>
  <si>
    <t>Serviço público</t>
  </si>
  <si>
    <t>Água, esgoto e saneamento</t>
  </si>
  <si>
    <t>Consumo próprio</t>
  </si>
  <si>
    <t>Tração elétrica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</si>
  <si>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</si>
  <si>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</si>
  <si>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</si>
  <si>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</si>
  <si>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</si>
  <si>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</si>
  <si>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</si>
  <si>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</si>
  <si>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</si>
  <si>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</si>
  <si>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</si>
  <si>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</si>
  <si>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</si>
  <si>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</si>
  <si>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</si>
  <si>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</si>
  <si>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</si>
  <si>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</si>
  <si>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</si>
  <si>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Energia convencional</t>
  </si>
  <si>
    <t>E</t>
  </si>
  <si>
    <t>kW</t>
  </si>
  <si>
    <t>DP</t>
  </si>
  <si>
    <t>DFP</t>
  </si>
  <si>
    <t>APE</t>
  </si>
  <si>
    <t>Geração</t>
  </si>
  <si>
    <t>B</t>
  </si>
  <si>
    <t>TIPO 01</t>
  </si>
  <si>
    <t>TIPO 02</t>
  </si>
  <si>
    <t>EINT</t>
  </si>
  <si>
    <t>Energia convencional pré-pagamento</t>
  </si>
  <si>
    <t>Convencional pré-pagamento</t>
  </si>
  <si>
    <t>Cooperativa de eletrificação rural</t>
  </si>
  <si>
    <t>Serviço público de irrigação rural</t>
  </si>
  <si>
    <t>CHAVE TUSD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</si>
  <si>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</si>
  <si>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</si>
  <si>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</si>
  <si>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</si>
  <si>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</si>
  <si>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</si>
  <si>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</si>
  <si>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</si>
  <si>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</si>
  <si>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</si>
  <si>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</si>
  <si>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</si>
  <si>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</si>
  <si>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</si>
  <si>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</si>
  <si>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</si>
  <si>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</si>
  <si>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</si>
  <si>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</si>
  <si>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</si>
  <si>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</si>
  <si>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</si>
  <si>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</si>
  <si>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</si>
  <si>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</si>
  <si>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</si>
  <si>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</si>
  <si>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</si>
  <si>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</si>
  <si>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</si>
  <si>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</si>
  <si>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</si>
  <si>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</si>
  <si>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</si>
  <si>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</si>
  <si>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</si>
  <si>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</si>
  <si>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</si>
  <si>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</si>
  <si>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</si>
  <si>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</si>
  <si>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</si>
  <si>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</si>
  <si>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</si>
  <si>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</si>
  <si>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</si>
  <si>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</si>
  <si>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</si>
  <si>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</si>
  <si>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</si>
  <si>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</si>
  <si>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</si>
  <si>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</si>
  <si>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</si>
  <si>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</si>
  <si>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</si>
  <si>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</si>
  <si>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</si>
  <si>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</si>
  <si>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</si>
  <si>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44440B1BrancaResidencialResidencialNão se aplicaNão se aplicaFora ponta</t>
  </si>
  <si>
    <t>44470B1BrancaResidencialResidencialNão se aplicaNão se aplicaFora ponta</t>
  </si>
  <si>
    <t>44501B1BrancaResidencialResidencialNão se aplicaNão se aplicaFora ponta</t>
  </si>
  <si>
    <t>44531B1BrancaResidencialResidencialNão se aplicaNão se aplicaFora ponta</t>
  </si>
  <si>
    <t>44562B1BrancaResidencialResidencialNão se aplicaNão se aplicaFora ponta</t>
  </si>
  <si>
    <t>44593B1BrancaResidencialResidencialNão se aplicaNão se aplicaFora ponta</t>
  </si>
  <si>
    <t>44621B1BrancaResidencialResidencialNão se aplicaNão se aplicaFora ponta</t>
  </si>
  <si>
    <t>44652B1BrancaResidencialResidencialNão se aplicaNão se aplicaFora ponta</t>
  </si>
  <si>
    <t>44682B1BrancaResidencialResidencialNão se aplicaNão se aplicaFora ponta</t>
  </si>
  <si>
    <t>44713B1BrancaResidencialResidencialNão se aplicaNão se aplicaFora ponta</t>
  </si>
  <si>
    <t>44743B1BrancaResidencialResidencialNão se aplicaNão se aplicaFora ponta</t>
  </si>
  <si>
    <t>44774B1BrancaResidencialResidencialNão se aplicaNão se aplicaFora ponta</t>
  </si>
  <si>
    <t>44470B1BrancaResidencialResidencialNão se aplicaNão se aplicaIntermediário</t>
  </si>
  <si>
    <t>44501B1BrancaResidencialResidencialNão se aplicaNão se aplicaIntermediário</t>
  </si>
  <si>
    <t>44531B1BrancaResidencialResidencialNão se aplicaNão se aplicaIntermediário</t>
  </si>
  <si>
    <t>44562B1BrancaResidencialResidencialNão se aplicaNão se aplicaIntermediário</t>
  </si>
  <si>
    <t>44593B1BrancaResidencialResidencialNão se aplicaNão se aplicaIntermediário</t>
  </si>
  <si>
    <t>44652B1BrancaResidencialResidencialNão se aplicaNão se aplicaIntermediário</t>
  </si>
  <si>
    <t>44682B1BrancaResidencialResidencialNão se aplicaNão se aplicaIntermediário</t>
  </si>
  <si>
    <t>44713B1BrancaResidencialResidencialNão se aplicaNão se aplicaIntermediário</t>
  </si>
  <si>
    <t>44743B1BrancaResidencialResidencialNão se aplicaNão se aplicaIntermediário</t>
  </si>
  <si>
    <t>44774B1BrancaResidencialResidencialNão se aplicaNão se aplicaIntermediário</t>
  </si>
  <si>
    <t>44470B1BrancaResidencialResidencialNão se aplicaNão se aplicaPonta</t>
  </si>
  <si>
    <t>44501B1BrancaResidencialResidencialNão se aplicaNão se aplicaPonta</t>
  </si>
  <si>
    <t>44531B1BrancaResidencialResidencialNão se aplicaNão se aplicaPonta</t>
  </si>
  <si>
    <t>44562B1BrancaResidencialResidencialNão se aplicaNão se aplicaPonta</t>
  </si>
  <si>
    <t>44593B1BrancaResidencialResidencialNão se aplicaNão se aplicaPonta</t>
  </si>
  <si>
    <t>44621B1BrancaResidencialResidencialNão se aplicaNão se aplicaPonta</t>
  </si>
  <si>
    <t>44652B1BrancaResidencialResidencialNão se aplicaNão se aplicaPonta</t>
  </si>
  <si>
    <t>44682B1BrancaResidencialResidencialNão se aplicaNão se aplicaPonta</t>
  </si>
  <si>
    <t>44713B1BrancaResidencialResidencialNão se aplicaNão se aplicaPonta</t>
  </si>
  <si>
    <t>44743B1BrancaResidencialResidencialNão se aplicaNão se aplicaPonta</t>
  </si>
  <si>
    <t>44774B1BrancaResidencialResidencialNão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</si>
  <si>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</si>
  <si>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</si>
  <si>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</si>
  <si>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</si>
  <si>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</si>
  <si>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</si>
  <si>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</si>
  <si>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</si>
  <si>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</si>
  <si>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</si>
  <si>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</si>
  <si>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</si>
  <si>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</si>
  <si>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</si>
  <si>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</si>
  <si>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</si>
  <si>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</si>
  <si>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</si>
  <si>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</si>
  <si>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</si>
  <si>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</si>
  <si>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</si>
  <si>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</si>
  <si>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</si>
  <si>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</si>
  <si>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</si>
  <si>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</si>
  <si>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</si>
  <si>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</si>
  <si>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</si>
  <si>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</si>
  <si>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</si>
  <si>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</si>
  <si>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</si>
  <si>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</si>
  <si>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</si>
  <si>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</si>
  <si>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</si>
  <si>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</si>
  <si>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</si>
  <si>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</si>
  <si>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</si>
  <si>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</si>
  <si>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</si>
  <si>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</si>
  <si>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</si>
  <si>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</si>
  <si>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</si>
  <si>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</si>
  <si>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</si>
  <si>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</si>
  <si>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</si>
  <si>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</si>
  <si>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</si>
  <si>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</si>
  <si>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</si>
  <si>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</si>
  <si>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</si>
  <si>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</si>
  <si>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</si>
  <si>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</si>
  <si>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</si>
  <si>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</si>
  <si>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</si>
  <si>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</si>
  <si>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</si>
  <si>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</si>
  <si>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</si>
  <si>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</si>
  <si>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</si>
  <si>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</si>
  <si>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</si>
  <si>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44440B3BrancaNão se aplicaNão se aplicaNão se aplicaNão se aplicaFora ponta</t>
  </si>
  <si>
    <t>44470B3BrancaNão se aplicaNão se aplicaNão se aplicaNão se aplicaFora ponta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</si>
  <si>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</si>
  <si>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</si>
  <si>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</si>
  <si>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</si>
  <si>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</si>
  <si>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44440B3BrancaNão se aplicaNão se aplicaNão se aplicaNão se aplicaIntermediário</t>
  </si>
  <si>
    <t>44470B3BrancaNão se aplicaNão se aplicaNão se aplicaNão se aplicaIntermediário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</si>
  <si>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</si>
  <si>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</si>
  <si>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</si>
  <si>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</si>
  <si>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44440B3BrancaNão se aplicaNão se aplicaNão se aplicaNão se aplicaPonta</t>
  </si>
  <si>
    <t>44470B3BrancaNão se aplicaNão se aplicaNão se aplicaNão se aplicaPonta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</si>
  <si>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</si>
  <si>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</si>
  <si>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</si>
  <si>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</si>
  <si>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</si>
  <si>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</si>
  <si>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</si>
  <si>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</si>
  <si>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</si>
  <si>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</si>
  <si>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</si>
  <si>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</si>
  <si>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</si>
  <si>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</si>
  <si>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</si>
  <si>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</si>
  <si>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</si>
  <si>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</si>
  <si>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</si>
  <si>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</si>
  <si>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</si>
  <si>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</si>
  <si>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</si>
  <si>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</si>
  <si>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</si>
  <si>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</si>
  <si>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</si>
  <si>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</si>
  <si>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44440B4ConvencionalIluminação públicaIluminação pública – B4bNão se aplicaNão se aplicaNão se aplica</t>
  </si>
  <si>
    <t>44470B4ConvencionalIluminação públicaIluminação pública – B4bNão se aplicaNão se aplicaNão se aplica</t>
  </si>
  <si>
    <t>44501B4ConvencionalIluminação públicaIluminação pública – B4bNão se aplicaNão se aplicaNão se aplica</t>
  </si>
  <si>
    <t>44531B4ConvencionalIluminação públicaIluminação pública – B4bNão se aplicaNão se aplicaNão se aplica</t>
  </si>
  <si>
    <t>44562B4ConvencionalIluminação públicaIluminação pública – B4bNão se aplicaNão se aplicaNão se aplica</t>
  </si>
  <si>
    <t>44593B4ConvencionalIluminação públicaIluminação pública – B4bNão se aplicaNão se aplicaNão se aplica</t>
  </si>
  <si>
    <t>44621B4ConvencionalIluminação públicaIluminação pública – B4bNão se aplicaNão se aplicaNão se aplica</t>
  </si>
  <si>
    <t>44652B4ConvencionalIluminação públicaIluminação pública – B4bNão se aplicaNão se aplicaNão se aplica</t>
  </si>
  <si>
    <t>44682B4ConvencionalIluminação públicaIluminação pública – B4bNão se aplicaNão se aplicaNão se aplica</t>
  </si>
  <si>
    <t>44713B4ConvencionalIluminação públicaIluminação pública – B4bNão se aplicaNão se aplicaNão se aplica</t>
  </si>
  <si>
    <t>44743B4ConvencionalIluminação públicaIluminação pública – B4bNão se aplicaNão se aplicaNão se aplica</t>
  </si>
  <si>
    <t>44774B4ConvencionalIluminação públicaIluminação pública – B4bNão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</si>
  <si>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</si>
  <si>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</si>
  <si>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</si>
  <si>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</si>
  <si>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</si>
  <si>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</si>
  <si>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</si>
  <si>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</si>
  <si>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</si>
  <si>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</si>
  <si>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</si>
  <si>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</si>
  <si>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</si>
  <si>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</si>
  <si>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</si>
  <si>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</si>
  <si>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</si>
  <si>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</si>
  <si>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</si>
  <si>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</si>
  <si>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</si>
  <si>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</si>
  <si>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</si>
  <si>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</si>
  <si>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</si>
  <si>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</si>
  <si>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</si>
  <si>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</si>
  <si>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</si>
  <si>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44440B1Energia horáriaResidencialResidencialNão se aplicaNão se aplicaFora ponta</t>
  </si>
  <si>
    <t>44470B1Energia horáriaResidencialResidencialNão se aplicaNão se aplicaFora ponta</t>
  </si>
  <si>
    <t>44501B1Energia horáriaResidencialResidencialNão se aplicaNão se aplicaFora ponta</t>
  </si>
  <si>
    <t>44531B1Energia horáriaResidencialResidencialNão se aplicaNão se aplicaFora ponta</t>
  </si>
  <si>
    <t>44562B1Energia horáriaResidencialResidencialNão se aplicaNão se aplicaFora ponta</t>
  </si>
  <si>
    <t>44593B1Energia horáriaResidencialResidencialNão se aplicaNão se aplicaFora ponta</t>
  </si>
  <si>
    <t>44621B1Energia horáriaResidencialResidencialNão se aplicaNão se aplicaFora ponta</t>
  </si>
  <si>
    <t>44652B1Energia horáriaResidencialResidencialNão se aplicaNão se aplicaFora ponta</t>
  </si>
  <si>
    <t>44682B1Energia horáriaResidencialResidencialNão se aplicaNão se aplicaFora ponta</t>
  </si>
  <si>
    <t>44713B1Energia horáriaResidencialResidencialNão se aplicaNão se aplicaFora ponta</t>
  </si>
  <si>
    <t>44743B1Energia horáriaResidencialResidencialNão se aplicaNão se aplicaFora ponta</t>
  </si>
  <si>
    <t>44774B1Energia horáriaResidencialResidencialNão se aplicaNão se aplicaFora ponta</t>
  </si>
  <si>
    <t>44470B1Energia horáriaResidencialResidencialNão se aplicaNão se aplicaIntermediário</t>
  </si>
  <si>
    <t>44501B1Energia horáriaResidencialResidencialNão se aplicaNão se aplicaIntermediário</t>
  </si>
  <si>
    <t>44531B1Energia horáriaResidencialResidencialNão se aplicaNão se aplicaIntermediário</t>
  </si>
  <si>
    <t>44562B1Energia horáriaResidencialResidencialNão se aplicaNão se aplicaIntermediário</t>
  </si>
  <si>
    <t>44593B1Energia horáriaResidencialResidencialNão se aplicaNão se aplicaIntermediário</t>
  </si>
  <si>
    <t>44652B1Energia horáriaResidencialResidencialNão se aplicaNão se aplicaIntermediário</t>
  </si>
  <si>
    <t>44682B1Energia horáriaResidencialResidencialNão se aplicaNão se aplicaIntermediário</t>
  </si>
  <si>
    <t>44713B1Energia horáriaResidencialResidencialNão se aplicaNão se aplicaIntermediário</t>
  </si>
  <si>
    <t>44743B1Energia horáriaResidencialResidencialNão se aplicaNão se aplicaIntermediário</t>
  </si>
  <si>
    <t>44774B1Energia horáriaResidencialResidencialNão se aplicaNão se aplicaIntermediário</t>
  </si>
  <si>
    <t>44470B1Energia horáriaResidencialResidencialNão se aplicaNão se aplicaPonta</t>
  </si>
  <si>
    <t>44501B1Energia horáriaResidencialResidencialNão se aplicaNão se aplicaPonta</t>
  </si>
  <si>
    <t>44531B1Energia horáriaResidencialResidencialNão se aplicaNão se aplicaPonta</t>
  </si>
  <si>
    <t>44562B1Energia horáriaResidencialResidencialNão se aplicaNão se aplicaPonta</t>
  </si>
  <si>
    <t>44593B1Energia horáriaResidencialResidencialNão se aplicaNão se aplicaPonta</t>
  </si>
  <si>
    <t>44621B1Energia horáriaResidencialResidencialNão se aplicaNão se aplicaPonta</t>
  </si>
  <si>
    <t>44652B1Energia horáriaResidencialResidencialNão se aplicaNão se aplicaPonta</t>
  </si>
  <si>
    <t>44682B1Energia horáriaResidencialResidencialNão se aplicaNão se aplicaPonta</t>
  </si>
  <si>
    <t>44713B1Energia horáriaResidencialResidencialNão se aplicaNão se aplicaPonta</t>
  </si>
  <si>
    <t>44743B1Energia horáriaResidencialResidencialNão se aplicaNão se aplicaPonta</t>
  </si>
  <si>
    <t>44774B1Energia horáriaResidencialResidencialNão se aplicaNão se aplicaPonta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</si>
  <si>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</si>
  <si>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</si>
  <si>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</si>
  <si>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</si>
  <si>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</si>
  <si>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</si>
  <si>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</si>
  <si>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</si>
  <si>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</si>
  <si>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</si>
  <si>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</si>
  <si>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</si>
  <si>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</si>
  <si>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</si>
  <si>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</si>
  <si>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</si>
  <si>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</si>
  <si>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</si>
  <si>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</si>
  <si>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</si>
  <si>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</si>
  <si>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</si>
  <si>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</si>
  <si>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</si>
  <si>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</si>
  <si>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</si>
  <si>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</si>
  <si>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</si>
  <si>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</si>
  <si>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</si>
  <si>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</si>
  <si>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</si>
  <si>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</si>
  <si>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</si>
  <si>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</si>
  <si>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</si>
  <si>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</si>
  <si>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</si>
  <si>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</si>
  <si>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</si>
  <si>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</si>
  <si>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</si>
  <si>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</si>
  <si>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</si>
  <si>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</si>
  <si>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</si>
  <si>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</si>
  <si>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</si>
  <si>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</si>
  <si>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</si>
  <si>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</si>
  <si>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</si>
  <si>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</si>
  <si>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</si>
  <si>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</si>
  <si>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</si>
  <si>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</si>
  <si>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</si>
  <si>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</si>
  <si>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</si>
  <si>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</si>
  <si>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</si>
  <si>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</si>
  <si>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</si>
  <si>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</si>
  <si>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</si>
  <si>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</si>
  <si>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</si>
  <si>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</si>
  <si>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</si>
  <si>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</si>
  <si>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</si>
  <si>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horáriaNão se aplicaNão se aplicaNão se aplicaNão se aplicaFora ponta</t>
  </si>
  <si>
    <t>44470B3Energia horáriaNão se aplicaNão se aplicaNão se aplicaNão se aplicaFora ponta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</si>
  <si>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</si>
  <si>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</si>
  <si>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</si>
  <si>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</si>
  <si>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</si>
  <si>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44440B3Energia horáriaNão se aplicaNão se aplicaNão se aplicaNão se aplicaIntermediário</t>
  </si>
  <si>
    <t>44470B3Energia horáriaNão se aplicaNão se aplicaNão se aplicaNão se aplicaIntermediário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</si>
  <si>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</si>
  <si>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</si>
  <si>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</si>
  <si>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</si>
  <si>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44440B3Energia horáriaNão se aplicaNão se aplicaNão se aplicaNão se aplicaPonta</t>
  </si>
  <si>
    <t>44470B3Energia horáriaNão se aplicaNão se aplicaNão se aplicaNão se aplicaPonta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</si>
  <si>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</si>
  <si>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</si>
  <si>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</si>
  <si>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</si>
  <si>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</si>
  <si>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</si>
  <si>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</si>
  <si>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</si>
  <si>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</si>
  <si>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</si>
  <si>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</si>
  <si>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</si>
  <si>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</si>
  <si>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</si>
  <si>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</si>
  <si>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</si>
  <si>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</si>
  <si>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</si>
  <si>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</si>
  <si>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</si>
  <si>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</si>
  <si>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</si>
  <si>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</si>
  <si>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</si>
  <si>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</si>
  <si>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</si>
  <si>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</si>
  <si>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</si>
  <si>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44440B4Energia convencionalIluminação públicaIluminação pública – B4bNão se aplicaNão se aplicaNão se aplica</t>
  </si>
  <si>
    <t>44470B4Energia convencionalIluminação públicaIluminação pública – B4bNão se aplicaNão se aplicaNão se aplica</t>
  </si>
  <si>
    <t>44501B4Energia convencionalIluminação públicaIluminação pública – B4bNão se aplicaNão se aplicaNão se aplica</t>
  </si>
  <si>
    <t>44531B4Energia convencionalIluminação públicaIluminação pública – B4bNão se aplicaNão se aplicaNão se aplica</t>
  </si>
  <si>
    <t>44562B4Energia convencionalIluminação públicaIluminação pública – B4bNão se aplicaNão se aplicaNão se aplica</t>
  </si>
  <si>
    <t>44593B4Energia convencionalIluminação públicaIluminação pública – B4bNão se aplicaNão se aplicaNão se aplica</t>
  </si>
  <si>
    <t>44621B4Energia convencionalIluminação públicaIluminação pública – B4bNão se aplicaNão se aplicaNão se aplica</t>
  </si>
  <si>
    <t>44652B4Energia convencionalIluminação públicaIluminação pública – B4bNão se aplicaNão se aplicaNão se aplica</t>
  </si>
  <si>
    <t>44682B4Energia convencionalIluminação públicaIluminação pública – B4bNão se aplicaNão se aplicaNão se aplica</t>
  </si>
  <si>
    <t>44713B4Energia convencionalIluminação públicaIluminação pública – B4bNão se aplicaNão se aplicaNão se aplica</t>
  </si>
  <si>
    <t>44743B4Energia convencionalIluminação públicaIluminação pública – B4bNão se aplicaNão se aplicaNão se aplica</t>
  </si>
  <si>
    <t>44774B4Energia convencionalIluminação públicaIluminação pública – B4bNão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</si>
  <si>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</si>
  <si>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</si>
  <si>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</si>
  <si>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</si>
  <si>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</si>
  <si>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</si>
  <si>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</si>
  <si>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</si>
  <si>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</si>
  <si>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</si>
  <si>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</si>
  <si>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</si>
  <si>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</si>
  <si>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</si>
  <si>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</si>
  <si>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</si>
  <si>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</si>
  <si>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</si>
  <si>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</si>
  <si>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</si>
  <si>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</si>
  <si>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</si>
  <si>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</si>
  <si>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</si>
  <si>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</si>
  <si>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</si>
  <si>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</si>
  <si>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</si>
  <si>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</si>
  <si>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</si>
  <si>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</si>
  <si>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</si>
  <si>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</si>
  <si>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</si>
  <si>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</si>
  <si>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</si>
  <si>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</si>
  <si>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</si>
  <si>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</si>
  <si>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</si>
  <si>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</si>
  <si>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</si>
  <si>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</si>
  <si>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</si>
  <si>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</si>
  <si>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</si>
  <si>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</si>
  <si>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</si>
  <si>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</si>
  <si>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</si>
  <si>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</si>
  <si>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</si>
  <si>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</si>
  <si>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</si>
  <si>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</si>
  <si>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</si>
  <si>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</si>
  <si>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</si>
  <si>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</si>
  <si>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</si>
  <si>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</si>
  <si>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</si>
  <si>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</si>
  <si>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</si>
  <si>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</si>
  <si>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</si>
  <si>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</si>
  <si>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</si>
  <si>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</si>
  <si>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</si>
  <si>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</si>
  <si>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</si>
  <si>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</si>
  <si>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</si>
  <si>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</si>
  <si>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</si>
  <si>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</si>
  <si>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</si>
  <si>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</si>
  <si>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</si>
  <si>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</si>
  <si>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</si>
  <si>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</si>
  <si>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</si>
  <si>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</si>
  <si>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</si>
  <si>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</si>
  <si>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</si>
  <si>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</si>
  <si>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</si>
  <si>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</si>
  <si>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</si>
  <si>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</si>
  <si>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</si>
  <si>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</si>
  <si>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</si>
  <si>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</si>
  <si>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</si>
  <si>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</si>
  <si>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</si>
  <si>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</si>
  <si>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2.940,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</si>
  <si>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</si>
  <si>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</si>
  <si>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</si>
  <si>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</si>
  <si>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</si>
  <si>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</si>
  <si>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</si>
  <si>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</si>
  <si>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</si>
  <si>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</si>
  <si>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</si>
  <si>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</si>
  <si>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</si>
  <si>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</si>
  <si>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</si>
  <si>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</si>
  <si>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</si>
  <si>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</si>
  <si>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</si>
  <si>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</si>
  <si>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</si>
  <si>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</si>
  <si>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</si>
  <si>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</si>
  <si>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</si>
  <si>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</si>
  <si>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</si>
  <si>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</si>
  <si>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</si>
  <si>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</si>
  <si>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</si>
  <si>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</si>
  <si>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</si>
  <si>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</si>
  <si>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</si>
  <si>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</si>
  <si>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</si>
  <si>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</si>
  <si>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</si>
  <si>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</si>
  <si>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</si>
  <si>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</si>
  <si>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</si>
  <si>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</si>
  <si>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</si>
  <si>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</si>
  <si>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</si>
  <si>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</si>
  <si>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</si>
  <si>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</si>
  <si>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</si>
  <si>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</si>
  <si>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</si>
  <si>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</si>
  <si>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</si>
  <si>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</si>
  <si>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</si>
  <si>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</si>
  <si>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</si>
  <si>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</si>
  <si>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</si>
  <si>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</si>
  <si>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</si>
  <si>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</si>
  <si>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</si>
  <si>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</si>
  <si>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</si>
  <si>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</si>
  <si>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</si>
  <si>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</si>
  <si>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</si>
  <si>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</si>
  <si>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</si>
  <si>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</si>
  <si>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</si>
  <si>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</si>
  <si>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</si>
  <si>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</si>
  <si>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</si>
  <si>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</si>
  <si>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</si>
  <si>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</si>
  <si>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</si>
  <si>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</si>
  <si>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</si>
  <si>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</si>
  <si>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</si>
  <si>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</si>
  <si>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</si>
  <si>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</si>
  <si>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</si>
  <si>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</si>
  <si>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</si>
  <si>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</si>
  <si>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</si>
  <si>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</si>
  <si>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BAIXA RENDA</t>
  </si>
  <si>
    <t>SUBSIDIO RURAL</t>
  </si>
  <si>
    <t>SUBSIDIO ÁGUA, ESGOTO E SANEAMENTO</t>
  </si>
  <si>
    <t>R$ (TV)</t>
  </si>
  <si>
    <t>R$ (TN)</t>
  </si>
  <si>
    <t>SUBSIDIO CARGA FONTE INCENTIVADA</t>
  </si>
  <si>
    <t>SUBSIDIO GERAÇÃO FONTE INCENTIVADA</t>
  </si>
  <si>
    <t>SUBSIDIO DISTRIBUIÇÃO</t>
  </si>
  <si>
    <t>SUBSIDIO IRRIGANTE/AQUICULTOR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</si>
  <si>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</si>
  <si>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</si>
  <si>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</si>
  <si>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</si>
  <si>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</si>
  <si>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</si>
  <si>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</si>
  <si>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</si>
  <si>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Azul1Serviço públicoÁgua, esgoto e saneamentoPlanilha CUSTOA4</t>
  </si>
  <si>
    <t>2021</t>
  </si>
  <si>
    <t>Planilha CUSTO</t>
  </si>
  <si>
    <t>Verde1Serviço públicoÁgua, esgoto e saneamentoPlanilha CUSTOA4</t>
  </si>
  <si>
    <t>Convencional 1Serviço públicoÁgua, esgoto e saneamentoPlanilha CUSTOA4</t>
  </si>
  <si>
    <t xml:space="preserve">Convencional 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</si>
  <si>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</si>
  <si>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</si>
  <si>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</si>
  <si>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</si>
  <si>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 xml:space="preserve">Branca </t>
  </si>
  <si>
    <t>Convencional1RuralNão se aplicaRuralB2</t>
  </si>
  <si>
    <t>Azul1RuralNão se aplicaPlanilha CustoA4</t>
  </si>
  <si>
    <t>Planilha Custo</t>
  </si>
  <si>
    <t>Verde1RuralNão se aplicaPlanilha CustoA4</t>
  </si>
  <si>
    <t>Convencional1RuralNão se aplicaPlanilha CustoA4</t>
  </si>
  <si>
    <t>Branca1RuralNão se aplicaRuralB2</t>
  </si>
  <si>
    <t>Convencional1RuralServiço público de irrigação ruralPlanilha CUSTOB2</t>
  </si>
  <si>
    <t>Branca 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</si>
  <si>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</si>
  <si>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</si>
  <si>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</si>
  <si>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</si>
  <si>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</si>
  <si>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</si>
  <si>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</si>
  <si>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</si>
  <si>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</si>
  <si>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</si>
  <si>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</si>
  <si>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</si>
  <si>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</si>
  <si>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</si>
  <si>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</si>
  <si>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</si>
  <si>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</si>
  <si>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</si>
  <si>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</si>
  <si>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</si>
  <si>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</si>
  <si>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</si>
  <si>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</si>
  <si>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</si>
  <si>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</si>
  <si>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</si>
  <si>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</si>
  <si>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</si>
  <si>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</si>
  <si>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</si>
  <si>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</si>
  <si>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</si>
  <si>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</si>
  <si>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</si>
  <si>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</si>
  <si>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</si>
  <si>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</si>
  <si>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</si>
  <si>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</si>
  <si>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</si>
  <si>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</si>
  <si>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</si>
  <si>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</si>
  <si>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</si>
  <si>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</si>
  <si>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</si>
  <si>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</si>
  <si>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</si>
  <si>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</si>
  <si>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</si>
  <si>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</si>
  <si>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</si>
  <si>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</si>
  <si>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</si>
  <si>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</si>
  <si>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</si>
  <si>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</si>
  <si>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</si>
  <si>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</si>
  <si>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</si>
  <si>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</si>
  <si>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</si>
  <si>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</si>
  <si>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</si>
  <si>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</si>
  <si>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</si>
  <si>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</si>
  <si>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</si>
  <si>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</si>
  <si>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</si>
  <si>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</si>
  <si>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</si>
  <si>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</si>
  <si>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</si>
  <si>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</si>
  <si>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</si>
  <si>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</si>
  <si>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</si>
  <si>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</si>
  <si>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</si>
  <si>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</si>
  <si>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</si>
  <si>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</si>
  <si>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</si>
  <si>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</si>
  <si>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</si>
  <si>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</si>
  <si>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</si>
  <si>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</si>
  <si>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</si>
  <si>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</si>
  <si>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</si>
  <si>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</si>
  <si>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</si>
  <si>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</si>
  <si>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</si>
  <si>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</si>
  <si>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</si>
  <si>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</si>
  <si>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</si>
  <si>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</si>
  <si>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</si>
  <si>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</si>
  <si>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</si>
  <si>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</si>
  <si>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</si>
  <si>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</si>
  <si>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</si>
  <si>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</si>
  <si>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</si>
  <si>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</si>
  <si>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</si>
  <si>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</si>
  <si>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</si>
  <si>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</si>
  <si>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</si>
  <si>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</si>
  <si>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</si>
  <si>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</si>
  <si>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</si>
  <si>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</si>
  <si>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</si>
  <si>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</si>
  <si>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</si>
  <si>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</si>
  <si>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</si>
  <si>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</si>
  <si>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</si>
  <si>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</si>
  <si>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</si>
  <si>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</si>
  <si>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</si>
  <si>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</si>
  <si>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</si>
  <si>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</si>
  <si>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</si>
  <si>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</si>
  <si>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</si>
  <si>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</si>
  <si>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</si>
  <si>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</si>
  <si>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</si>
  <si>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</si>
  <si>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</si>
  <si>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</si>
  <si>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</si>
  <si>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</si>
  <si>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</si>
  <si>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</si>
  <si>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</si>
  <si>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</si>
  <si>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</si>
  <si>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</si>
  <si>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</si>
  <si>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</si>
  <si>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</si>
  <si>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</si>
  <si>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</si>
  <si>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</si>
  <si>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</si>
  <si>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</si>
  <si>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</si>
  <si>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</si>
  <si>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</si>
  <si>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</si>
  <si>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</si>
  <si>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</si>
  <si>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</si>
  <si>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</si>
  <si>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</si>
  <si>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</si>
  <si>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</si>
  <si>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</si>
  <si>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</si>
  <si>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</si>
  <si>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</si>
  <si>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</si>
  <si>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</si>
  <si>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</si>
  <si>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</si>
  <si>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</si>
  <si>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</si>
  <si>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</si>
  <si>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</si>
  <si>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</si>
  <si>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</si>
  <si>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</si>
  <si>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</si>
  <si>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</si>
  <si>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</si>
  <si>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</si>
  <si>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</si>
  <si>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</si>
  <si>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</si>
  <si>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</si>
  <si>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</si>
  <si>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</si>
  <si>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</si>
  <si>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</si>
  <si>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</si>
  <si>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</si>
  <si>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</si>
  <si>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</si>
  <si>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</si>
  <si>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</si>
  <si>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</si>
  <si>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</si>
  <si>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</si>
  <si>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</si>
  <si>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</si>
  <si>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</si>
  <si>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</si>
  <si>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</si>
  <si>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</si>
  <si>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</si>
  <si>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</si>
  <si>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</si>
  <si>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</si>
  <si>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</si>
  <si>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</si>
  <si>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</si>
  <si>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</si>
  <si>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</si>
  <si>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</si>
  <si>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</si>
  <si>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</si>
  <si>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</si>
  <si>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</si>
  <si>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</si>
  <si>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</si>
  <si>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</si>
  <si>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</si>
  <si>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</si>
  <si>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</si>
  <si>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</si>
  <si>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</si>
  <si>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</si>
  <si>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</si>
  <si>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</si>
  <si>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</si>
  <si>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</si>
  <si>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</si>
  <si>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</si>
  <si>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</si>
  <si>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</si>
  <si>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</si>
  <si>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</si>
  <si>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</si>
  <si>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A4Energia convencional</t>
  </si>
  <si>
    <t>A4Energia convencionalNão se aplica</t>
  </si>
  <si>
    <t>A4Energia convencionalNão se aplicaNão se aplica</t>
  </si>
  <si>
    <t>A4Energia convencionalNão se aplicaNão se aplicaNão se aplica</t>
  </si>
  <si>
    <t>A4Energia convencionalNão se aplicaNão se aplicaNão se aplicaNão se aplica</t>
  </si>
  <si>
    <t>A4Energia convencionalNão se aplicaNão se aplicaNão se aplicaNão se aplicaE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</si>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</sst>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_ ;[Red]\-#,##0.00\ "/>
    <numFmt numFmtId="169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5" fontId="3" fillId="0" borderId="0" xfId="0" applyNumberFormat="1" applyFont="1"/>
    <xf numFmtId="0" fontId="3" fillId="0" borderId="13" xfId="0" applyFont="1" applyBorder="1" applyAlignment="1">
      <alignment vertical="center"/>
    </xf>
    <xf numFmtId="168" fontId="3" fillId="0" borderId="0" xfId="0" applyNumberFormat="1" applyFont="1"/>
    <xf numFmtId="164" fontId="3" fillId="0" borderId="0" xfId="1" applyFont="1"/>
    <xf numFmtId="164" fontId="1" fillId="0" borderId="0" xfId="0" applyNumberFormat="1" applyFont="1" applyAlignment="1">
      <alignment horizontal="center" vertical="center"/>
    </xf>
    <xf numFmtId="165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40" fontId="8" fillId="3" borderId="15" xfId="0" applyNumberFormat="1" applyFont="1" applyFill="1" applyBorder="1" applyAlignment="1">
      <alignment horizontal="center" vertical="center"/>
    </xf>
    <xf numFmtId="169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1" fillId="6" borderId="18" xfId="0" applyNumberFormat="1" applyFont="1" applyFill="1" applyBorder="1"/>
    <xf numFmtId="4" fontId="11" fillId="6" borderId="12" xfId="0" applyNumberFormat="1" applyFont="1" applyFill="1" applyBorder="1"/>
    <xf numFmtId="4" fontId="11" fillId="6" borderId="19" xfId="0" applyNumberFormat="1" applyFont="1" applyFill="1" applyBorder="1"/>
    <xf numFmtId="4" fontId="11" fillId="6" borderId="6" xfId="0" applyNumberFormat="1" applyFont="1" applyFill="1" applyBorder="1"/>
    <xf numFmtId="4" fontId="11" fillId="6" borderId="13" xfId="0" applyNumberFormat="1" applyFont="1" applyFill="1" applyBorder="1"/>
    <xf numFmtId="4" fontId="11" fillId="6" borderId="5" xfId="0" applyNumberFormat="1" applyFont="1" applyFill="1" applyBorder="1"/>
    <xf numFmtId="4" fontId="11" fillId="6" borderId="20" xfId="0" applyNumberFormat="1" applyFont="1" applyFill="1" applyBorder="1"/>
    <xf numFmtId="4" fontId="11" fillId="6" borderId="10" xfId="0" applyNumberFormat="1" applyFont="1" applyFill="1" applyBorder="1"/>
    <xf numFmtId="4" fontId="11" fillId="6" borderId="17" xfId="0" applyNumberFormat="1" applyFont="1" applyFill="1" applyBorder="1"/>
    <xf numFmtId="4" fontId="11" fillId="6" borderId="13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827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70" formatCode="#,##0.00_);[Red]\(#,##0.00\)"/>
    </dxf>
    <dxf>
      <numFmt numFmtId="170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70" formatCode="#,##0.00_);[Red]\(#,##0.00\)"/>
    </dxf>
    <dxf>
      <numFmt numFmtId="170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9.4110885740327204E-4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8.3747917008422143E-2</c:v>
                </c:pt>
                <c:pt idx="6">
                  <c:v>1.4047407181307557E-2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2.8031741779414369E-2</c:v>
                </c:pt>
                <c:pt idx="13">
                  <c:v>0</c:v>
                </c:pt>
                <c:pt idx="14">
                  <c:v>0</c:v>
                </c:pt>
                <c:pt idx="15">
                  <c:v>8.5936444051586555E-2</c:v>
                </c:pt>
                <c:pt idx="16">
                  <c:v>0</c:v>
                </c:pt>
                <c:pt idx="17">
                  <c:v>0</c:v>
                </c:pt>
                <c:pt idx="18">
                  <c:v>-6.1175954722808706E-3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7-4CFA-A23C-AABCFAFC80A0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6.2231047590511463E-4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0.1054132807130365</c:v>
                </c:pt>
                <c:pt idx="6">
                  <c:v>2.1630672230776825E-2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2.3439371579955657E-2</c:v>
                </c:pt>
                <c:pt idx="13">
                  <c:v>0</c:v>
                </c:pt>
                <c:pt idx="14">
                  <c:v>0</c:v>
                </c:pt>
                <c:pt idx="15">
                  <c:v>5.6297845087965218E-2</c:v>
                </c:pt>
                <c:pt idx="16">
                  <c:v>0</c:v>
                </c:pt>
                <c:pt idx="17">
                  <c:v>0</c:v>
                </c:pt>
                <c:pt idx="18">
                  <c:v>-5.6517674772309451E-3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7-4CFA-A23C-AABCFAFC80A0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6.2231047590511463E-4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0.1054132807130365</c:v>
                </c:pt>
                <c:pt idx="6">
                  <c:v>2.1630672230776825E-2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2.3439371579955657E-2</c:v>
                </c:pt>
                <c:pt idx="13">
                  <c:v>0</c:v>
                </c:pt>
                <c:pt idx="14">
                  <c:v>0</c:v>
                </c:pt>
                <c:pt idx="15">
                  <c:v>5.6297845087965218E-2</c:v>
                </c:pt>
                <c:pt idx="16">
                  <c:v>0</c:v>
                </c:pt>
                <c:pt idx="17">
                  <c:v>0</c:v>
                </c:pt>
                <c:pt idx="18">
                  <c:v>-5.6517674772309451E-3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B7-4CFA-A23C-AABCFAFC80A0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ABB7-4CFA-A23C-AABCFAFC80A0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ABB7-4CFA-A23C-AABCFAFC80A0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ABB7-4CFA-A23C-AABCFAFC8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097504"/>
        <c:axId val="1131097832"/>
      </c:radarChart>
      <c:catAx>
        <c:axId val="11310975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31097832"/>
        <c:crosses val="autoZero"/>
        <c:auto val="1"/>
        <c:lblAlgn val="ctr"/>
        <c:lblOffset val="100"/>
        <c:noMultiLvlLbl val="0"/>
      </c:catAx>
      <c:valAx>
        <c:axId val="1131097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1097504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-8.0176317969155447E-2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6-48C2-9554-5D64761CC00B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-0.10218774418549181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36-48C2-9554-5D64761CC00B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-0.10218774418549181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36-48C2-9554-5D64761CC00B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4236-48C2-9554-5D64761CC00B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4236-48C2-9554-5D64761CC00B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4236-48C2-9554-5D64761CC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209792"/>
        <c:axId val="1125205528"/>
      </c:radarChart>
      <c:catAx>
        <c:axId val="11252097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25205528"/>
        <c:crosses val="autoZero"/>
        <c:auto val="1"/>
        <c:lblAlgn val="ctr"/>
        <c:lblOffset val="100"/>
        <c:noMultiLvlLbl val="0"/>
      </c:catAx>
      <c:valAx>
        <c:axId val="1125205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520979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1099186</xdr:colOff>
      <xdr:row>17</xdr:row>
      <xdr:rowOff>83820</xdr:rowOff>
    </xdr:from>
    <xdr:to>
      <xdr:col>11</xdr:col>
      <xdr:colOff>525781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6F80DC-3DB4-470B-1E2A-B37BBAC74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1099186</xdr:colOff>
      <xdr:row>17</xdr:row>
      <xdr:rowOff>83820</xdr:rowOff>
    </xdr:from>
    <xdr:to>
      <xdr:col>11</xdr:col>
      <xdr:colOff>342901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E7C6EA-BC0F-1C97-A765-D8C3A4D1C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629960185186" createdVersion="5" refreshedVersion="8" minRefreshableVersion="3" recordCount="417" xr:uid="{C63AE1DB-5173-496D-B328-43D76CA8C947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4">
        <s v="Azul"/>
        <s v="Verde"/>
        <s v="Branca"/>
        <s v="Convencional"/>
      </sharedItems>
    </cacheField>
    <cacheField name="Classe" numFmtId="0">
      <sharedItems count="8">
        <s v="Comercial"/>
        <s v="Industrial"/>
        <s v="Residencial"/>
        <s v="Rural"/>
        <s v="Consumo próprio"/>
        <s v="Poder público"/>
        <s v="Serviço público"/>
        <s v="Iluminação pública"/>
      </sharedItems>
    </cacheField>
    <cacheField name="Subclasse" numFmtId="0">
      <sharedItems count="10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Água, esgoto e saneamento"/>
        <s v="Tração elétrica"/>
        <s v="Iluminação pública – B4a"/>
        <s v="Iluminação pública – B4b"/>
      </sharedItems>
    </cacheField>
    <cacheField name="Detalhe" numFmtId="0">
      <sharedItems count="1">
        <s v="Não se aplica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Ponta"/>
        <s v="Não se aplic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-177" maxValue="1530"/>
    </cacheField>
    <cacheField name="Daj" numFmtId="40">
      <sharedItems containsSemiMixedTypes="0" containsString="0" containsNumber="1" containsInteger="1" minValue="-177" maxValue="1530"/>
    </cacheField>
    <cacheField name="TUSD_E" numFmtId="40">
      <sharedItems containsSemiMixedTypes="0" containsString="0" containsNumber="1" minValue="-99.763000000000005" maxValue="2243.922"/>
    </cacheField>
    <cacheField name="TUSD_Eaj" numFmtId="40">
      <sharedItems containsSemiMixedTypes="0" containsString="0" containsNumber="1" minValue="-99.763000000000005" maxValue="2243.922"/>
    </cacheField>
    <cacheField name="TE_E" numFmtId="40">
      <sharedItems containsSemiMixedTypes="0" containsString="0" containsNumber="1" minValue="-99.763000000000005" maxValue="2243.922"/>
    </cacheField>
    <cacheField name="TE_Eaj" numFmtId="40">
      <sharedItems containsSemiMixedTypes="0" containsString="0" containsNumber="1" minValue="-99.763000000000005" maxValue="2243.922"/>
    </cacheField>
    <cacheField name="UC" numFmtId="40">
      <sharedItems containsSemiMixedTypes="0" containsString="0" containsNumber="1" containsInteger="1" minValue="0" maxValue="8393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12"/>
    </cacheField>
    <cacheField name="CóD. AUX. TUSD R$/MWh" numFmtId="40">
      <sharedItems containsSemiMixedTypes="0" containsString="0" containsNumber="1" containsInteger="1" minValue="0" maxValue="70"/>
    </cacheField>
    <cacheField name="CóD. AUX. TE R$/MWh" numFmtId="40">
      <sharedItems containsSemiMixedTypes="0" containsString="0" containsNumber="1" containsInteger="1" minValue="0" maxValue="80"/>
    </cacheField>
    <cacheField name="TUSD (R$/kW)" numFmtId="40">
      <sharedItems containsSemiMixedTypes="0" containsString="0" containsNumber="1" minValue="0" maxValue="89.42"/>
    </cacheField>
    <cacheField name="TUSD (R$/MWh)" numFmtId="40">
      <sharedItems containsSemiMixedTypes="0" containsString="0" containsNumber="1" minValue="0" maxValue="2224.88"/>
    </cacheField>
    <cacheField name="TE (R$/MWh)" numFmtId="40">
      <sharedItems containsSemiMixedTypes="0" containsString="0" containsNumber="1" minValue="0" maxValue="185.74"/>
    </cacheField>
    <cacheField name="TUSD (R$/kW) NOVA" numFmtId="40">
      <sharedItems containsString="0" containsBlank="1" containsNumber="1" minValue="35.933230591620472" maxValue="107.68056618650911"/>
    </cacheField>
    <cacheField name="TUSD (R$/MWh) NOVA" numFmtId="40">
      <sharedItems containsString="0" containsBlank="1" containsNumber="1" minValue="104.33304759371407" maxValue="2694.5005966409608"/>
    </cacheField>
    <cacheField name="TE (R$/MWh) NOVA" numFmtId="40">
      <sharedItems containsString="0" containsBlank="1" containsNumber="1" minValue="58.367224355543108" maxValue="166.7634981586946"/>
    </cacheField>
    <cacheField name="RA0 ou RV - TUSD (kW)" numFmtId="40">
      <sharedItems containsSemiMixedTypes="0" containsString="0" containsNumber="1" minValue="-5223.2700000000004" maxValue="52042.44"/>
    </cacheField>
    <cacheField name="RA0 ou RV - TUSD (MWh)" numFmtId="40">
      <sharedItems containsSemiMixedTypes="0" containsString="0" containsNumber="1" minValue="-44191.018479999999" maxValue="874703.23482000001"/>
    </cacheField>
    <cacheField name="RA0 ou RV - TE (MWh)" numFmtId="40">
      <sharedItems containsSemiMixedTypes="0" containsString="0" containsNumber="1" minValue="-18529.979620000002" maxValue="366769.05089999997"/>
    </cacheField>
    <cacheField name="RA1 ou RRD - TUSD (kW)" numFmtId="40">
      <sharedItems containsSemiMixedTypes="0" containsString="0" containsNumber="1" minValue="-6360.1818147168233" maxValue="62670.089520548303"/>
    </cacheField>
    <cacheField name="RA1 ou RRD - TUSD (MWh)" numFmtId="40">
      <sharedItems containsSemiMixedTypes="0" containsString="0" containsNumber="1" minValue="-54356.289232043004" maxValue="1149253.6997822411"/>
    </cacheField>
    <cacheField name="RA1 ou RRD - TE (MWh)" numFmtId="40">
      <sharedItems containsSemiMixedTypes="0" containsString="0" containsNumber="1" minValue="-16636.826866805852" maxValue="351752.02537633904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63003148148" createdVersion="5" refreshedVersion="8" minRefreshableVersion="3" recordCount="115" xr:uid="{5AF743E6-8EDC-498D-8E1D-B0E9EBBE126C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3">
        <s v="B1"/>
        <s v="B2"/>
        <s v="B3"/>
      </sharedItems>
    </cacheField>
    <cacheField name="Modalidade" numFmtId="0">
      <sharedItems count="1">
        <s v="Convencional"/>
      </sharedItems>
    </cacheField>
    <cacheField name="Classe" numFmtId="0">
      <sharedItems count="3">
        <s v="Residencial"/>
        <s v="Rural"/>
        <s v="Serviço público"/>
      </sharedItems>
    </cacheField>
    <cacheField name="Subclasse" numFmtId="0">
      <sharedItems count="7">
        <s v="Residencial"/>
        <s v="Residencial baixa renda – faixa 01"/>
        <s v="Residencial baixa renda – faixa 02"/>
        <s v="Residencial baixa renda – faixa 03"/>
        <s v="Residencial baixa renda – faixa 04"/>
        <s v="Não se aplica"/>
        <s v="Água, esgoto e saneamento"/>
      </sharedItems>
    </cacheField>
    <cacheField name="Detalhe" numFmtId="0">
      <sharedItems count="1">
        <s v="Não se aplica"/>
      </sharedItems>
    </cacheField>
    <cacheField name="Agente" numFmtId="0">
      <sharedItems count="1">
        <s v="Não se aplica"/>
      </sharedItems>
    </cacheField>
    <cacheField name="Posto" numFmtId="0">
      <sharedItems count="1">
        <s v="Não se aplic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0"/>
    </cacheField>
    <cacheField name="Daj" numFmtId="40">
      <sharedItems containsSemiMixedTypes="0" containsString="0" containsNumber="1" containsInteger="1" minValue="0" maxValue="0"/>
    </cacheField>
    <cacheField name="TUSD_E" numFmtId="40">
      <sharedItems containsSemiMixedTypes="0" containsString="0" containsNumber="1" minValue="-14.714" maxValue="2243.922"/>
    </cacheField>
    <cacheField name="TUSD_Eaj" numFmtId="40">
      <sharedItems containsSemiMixedTypes="0" containsString="0" containsNumber="1" minValue="-14.714" maxValue="2243.922"/>
    </cacheField>
    <cacheField name="TE_E" numFmtId="40">
      <sharedItems containsSemiMixedTypes="0" containsString="0" containsNumber="1" minValue="-14.714" maxValue="2243.922"/>
    </cacheField>
    <cacheField name="TE_Eaj" numFmtId="40">
      <sharedItems containsSemiMixedTypes="0" containsString="0" containsNumber="1" minValue="-14.714" maxValue="2243.922"/>
    </cacheField>
    <cacheField name="UC" numFmtId="40">
      <sharedItems containsSemiMixedTypes="0" containsString="0" containsNumber="1" containsInteger="1" minValue="0" maxValue="7983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0"/>
    </cacheField>
    <cacheField name="CóD. AUX. TUSD R$/MWh" numFmtId="0">
      <sharedItems containsSemiMixedTypes="0" containsString="0" containsNumber="1" containsInteger="1" minValue="32" maxValue="67"/>
    </cacheField>
    <cacheField name="CóD. AUX. TE R$/MWh" numFmtId="0">
      <sharedItems containsSemiMixedTypes="0" containsString="0" containsNumber="1" containsInteger="1" minValue="9" maxValue="80"/>
    </cacheField>
    <cacheField name="TUSD (R$/kW)" numFmtId="40">
      <sharedItems containsSemiMixedTypes="0" containsString="0" containsNumber="1" containsInteger="1" minValue="0" maxValue="0"/>
    </cacheField>
    <cacheField name="TUSD (R$/MWh)" numFmtId="40">
      <sharedItems containsSemiMixedTypes="0" containsString="0" containsNumber="1" minValue="131.37" maxValue="442.96"/>
    </cacheField>
    <cacheField name="TE (R$/MWh)" numFmtId="40">
      <sharedItems containsSemiMixedTypes="0" containsString="0" containsNumber="1" minValue="65.010000000000005" maxValue="185.74"/>
    </cacheField>
    <cacheField name="TUSD (R$/kW) NOVA" numFmtId="40">
      <sharedItems containsNonDate="0" containsString="0" containsBlank="1"/>
    </cacheField>
    <cacheField name="TUSD (R$/MWh) NOVA" numFmtId="40">
      <sharedItems containsSemiMixedTypes="0" containsString="0" containsNumber="1" minValue="153.49478909228577" maxValue="544.85419676676725"/>
    </cacheField>
    <cacheField name="TE (R$/MWh) NOVA" numFmtId="40">
      <sharedItems containsSemiMixedTypes="0" containsString="0" containsNumber="1" minValue="58.367224355543108" maxValue="166.7634981586946"/>
    </cacheField>
    <cacheField name="SUBSIDIO kW - TV" numFmtId="40">
      <sharedItems containsSemiMixedTypes="0" containsString="0" containsNumber="1" containsInteger="1" minValue="0" maxValue="0"/>
    </cacheField>
    <cacheField name="SUBSIDIO MWh - TV" numFmtId="40">
      <sharedItems containsSemiMixedTypes="0" containsString="0" containsNumber="1" minValue="-1110.0241600000008" maxValue="169281.47568000012"/>
    </cacheField>
    <cacheField name="SUBSIDIO kW - TN" numFmtId="40">
      <sharedItems containsSemiMixedTypes="0" containsString="0" containsNumber="1" containsInteger="1" minValue="0" maxValue="0"/>
    </cacheField>
    <cacheField name="SUBSIDIO MWh - TN" numFmtId="40">
      <sharedItems containsSemiMixedTypes="0" containsString="0" containsNumber="1" minValue="-628.2445657879955" maxValue="95808.876073952051"/>
    </cacheField>
    <cacheField name="TIPO" numFmtId="0">
      <sharedItems containsBlank="1" count="4">
        <m/>
        <s v="SUBSIDIO BAIXA RENDA"/>
        <s v="SUBSIDIO RURAL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7">
  <r>
    <s v="Regular"/>
    <x v="0"/>
    <x v="0"/>
    <x v="0"/>
    <x v="0"/>
    <x v="0"/>
    <x v="0"/>
    <x v="0"/>
    <x v="0"/>
    <n v="555"/>
    <n v="555"/>
    <n v="288.81400000000002"/>
    <n v="288.81400000000002"/>
    <n v="288.81400000000002"/>
    <n v="288.81400000000002"/>
    <n v="0"/>
    <x v="0"/>
    <n v="0"/>
    <n v="4"/>
    <n v="6"/>
    <n v="72"/>
    <n v="29.51"/>
    <n v="73.98"/>
    <n v="185.74"/>
    <n v="35.933230591620472"/>
    <n v="104.33304759371407"/>
    <n v="166.7634981586946"/>
    <n v="16378.050000000001"/>
    <n v="21366.459720000003"/>
    <n v="53644.312360000004"/>
    <n v="19942.942978349362"/>
    <n v="30132.844807730937"/>
    <n v="48163.632957205227"/>
  </r>
  <r>
    <s v="Regular"/>
    <x v="0"/>
    <x v="0"/>
    <x v="0"/>
    <x v="0"/>
    <x v="0"/>
    <x v="0"/>
    <x v="0"/>
    <x v="1"/>
    <n v="541"/>
    <n v="541"/>
    <n v="313.89100000000002"/>
    <n v="313.89100000000002"/>
    <n v="313.89100000000002"/>
    <n v="313.89100000000002"/>
    <n v="0"/>
    <x v="0"/>
    <n v="0"/>
    <n v="4"/>
    <n v="6"/>
    <n v="72"/>
    <n v="29.51"/>
    <n v="73.98"/>
    <n v="185.74"/>
    <n v="35.933230591620472"/>
    <n v="104.33304759371407"/>
    <n v="166.7634981586946"/>
    <n v="15964.910000000002"/>
    <n v="23221.656180000002"/>
    <n v="58302.114340000007"/>
    <n v="19439.877750066677"/>
    <n v="32749.204642238506"/>
    <n v="52345.561200530814"/>
  </r>
  <r>
    <s v="Regular"/>
    <x v="0"/>
    <x v="0"/>
    <x v="0"/>
    <x v="0"/>
    <x v="0"/>
    <x v="0"/>
    <x v="0"/>
    <x v="2"/>
    <n v="555"/>
    <n v="555"/>
    <n v="329.20600000000002"/>
    <n v="329.20600000000002"/>
    <n v="329.20600000000002"/>
    <n v="329.20600000000002"/>
    <n v="0"/>
    <x v="0"/>
    <n v="0"/>
    <n v="4"/>
    <n v="6"/>
    <n v="72"/>
    <n v="29.51"/>
    <n v="73.98"/>
    <n v="185.74"/>
    <n v="35.933230591620472"/>
    <n v="104.33304759371407"/>
    <n v="166.7634981586946"/>
    <n v="16378.050000000001"/>
    <n v="24354.659880000003"/>
    <n v="61146.722440000005"/>
    <n v="19942.942978349362"/>
    <n v="34347.065266136233"/>
    <n v="54899.544174831215"/>
  </r>
  <r>
    <s v="Regular"/>
    <x v="0"/>
    <x v="0"/>
    <x v="0"/>
    <x v="0"/>
    <x v="0"/>
    <x v="0"/>
    <x v="0"/>
    <x v="3"/>
    <n v="571"/>
    <n v="571"/>
    <n v="339.89699999999999"/>
    <n v="339.89699999999999"/>
    <n v="339.89699999999999"/>
    <n v="339.89699999999999"/>
    <n v="0"/>
    <x v="0"/>
    <n v="0"/>
    <n v="4"/>
    <n v="6"/>
    <n v="72"/>
    <n v="29.51"/>
    <n v="73.98"/>
    <n v="185.74"/>
    <n v="35.933230591620472"/>
    <n v="104.33304759371407"/>
    <n v="166.7634981586946"/>
    <n v="16850.21"/>
    <n v="25145.58006"/>
    <n v="63132.468780000003"/>
    <n v="20517.874667815289"/>
    <n v="35462.48987796063"/>
    <n v="56682.412733645819"/>
  </r>
  <r>
    <s v="Regular"/>
    <x v="0"/>
    <x v="0"/>
    <x v="0"/>
    <x v="0"/>
    <x v="0"/>
    <x v="0"/>
    <x v="0"/>
    <x v="4"/>
    <n v="579"/>
    <n v="579"/>
    <n v="338.29199999999997"/>
    <n v="338.29199999999997"/>
    <n v="338.29199999999997"/>
    <n v="338.29199999999997"/>
    <n v="0"/>
    <x v="0"/>
    <n v="0"/>
    <n v="4"/>
    <n v="6"/>
    <n v="72"/>
    <n v="29.51"/>
    <n v="73.98"/>
    <n v="185.74"/>
    <n v="35.933230591620472"/>
    <n v="104.33304759371407"/>
    <n v="166.7634981586946"/>
    <n v="17086.29"/>
    <n v="25026.84216"/>
    <n v="62834.356079999998"/>
    <n v="20805.340512548253"/>
    <n v="35295.035336572721"/>
    <n v="56414.757319101111"/>
  </r>
  <r>
    <s v="Regular"/>
    <x v="0"/>
    <x v="0"/>
    <x v="0"/>
    <x v="0"/>
    <x v="0"/>
    <x v="0"/>
    <x v="0"/>
    <x v="5"/>
    <n v="590"/>
    <n v="590"/>
    <n v="311.79599999999999"/>
    <n v="311.79599999999999"/>
    <n v="311.79599999999999"/>
    <n v="311.79599999999999"/>
    <n v="0"/>
    <x v="0"/>
    <n v="0"/>
    <n v="4"/>
    <n v="6"/>
    <n v="72"/>
    <n v="29.51"/>
    <n v="73.98"/>
    <n v="185.74"/>
    <n v="35.933230591620472"/>
    <n v="104.33304759371407"/>
    <n v="166.7634981586946"/>
    <n v="17410.900000000001"/>
    <n v="23066.668079999999"/>
    <n v="57912.98904"/>
    <n v="21200.606049056078"/>
    <n v="32530.626907529673"/>
    <n v="51996.191671888344"/>
  </r>
  <r>
    <s v="Regular"/>
    <x v="0"/>
    <x v="0"/>
    <x v="0"/>
    <x v="0"/>
    <x v="0"/>
    <x v="0"/>
    <x v="0"/>
    <x v="6"/>
    <n v="527"/>
    <n v="527"/>
    <n v="308.38099999999997"/>
    <n v="308.38099999999997"/>
    <n v="308.38099999999997"/>
    <n v="308.38099999999997"/>
    <n v="0"/>
    <x v="0"/>
    <n v="0"/>
    <n v="4"/>
    <n v="6"/>
    <n v="72"/>
    <n v="29.51"/>
    <n v="73.98"/>
    <n v="185.74"/>
    <n v="35.933230591620472"/>
    <n v="104.33304759371407"/>
    <n v="166.7634981586946"/>
    <n v="15551.77"/>
    <n v="22814.026379999999"/>
    <n v="57278.68694"/>
    <n v="18936.812521783988"/>
    <n v="32174.329549997135"/>
    <n v="51426.694325676399"/>
  </r>
  <r>
    <s v="Regular"/>
    <x v="0"/>
    <x v="0"/>
    <x v="0"/>
    <x v="0"/>
    <x v="0"/>
    <x v="0"/>
    <x v="0"/>
    <x v="7"/>
    <n v="527"/>
    <n v="527"/>
    <n v="283.87799999999999"/>
    <n v="283.87799999999999"/>
    <n v="283.87799999999999"/>
    <n v="283.87799999999999"/>
    <n v="0"/>
    <x v="0"/>
    <n v="0"/>
    <n v="4"/>
    <n v="6"/>
    <n v="72"/>
    <n v="29.51"/>
    <n v="73.98"/>
    <n v="185.74"/>
    <n v="35.933230591620472"/>
    <n v="104.33304759371407"/>
    <n v="166.7634981586946"/>
    <n v="15551.77"/>
    <n v="21001.294440000001"/>
    <n v="52727.49972"/>
    <n v="18936.812521783988"/>
    <n v="29617.85688480836"/>
    <n v="47340.488330293905"/>
  </r>
  <r>
    <s v="Regular"/>
    <x v="0"/>
    <x v="0"/>
    <x v="0"/>
    <x v="0"/>
    <x v="0"/>
    <x v="0"/>
    <x v="0"/>
    <x v="8"/>
    <n v="527"/>
    <n v="527"/>
    <n v="299.13900000000001"/>
    <n v="299.13900000000001"/>
    <n v="299.13900000000001"/>
    <n v="299.13900000000001"/>
    <n v="0"/>
    <x v="0"/>
    <n v="0"/>
    <n v="4"/>
    <n v="6"/>
    <n v="72"/>
    <n v="29.51"/>
    <n v="73.98"/>
    <n v="185.74"/>
    <n v="35.933230591620472"/>
    <n v="104.33304759371407"/>
    <n v="166.7634981586946"/>
    <n v="15551.77"/>
    <n v="22130.303220000002"/>
    <n v="55562.077860000005"/>
    <n v="18936.812521783988"/>
    <n v="31210.083524136033"/>
    <n v="49885.466075693745"/>
  </r>
  <r>
    <s v="Regular"/>
    <x v="0"/>
    <x v="0"/>
    <x v="0"/>
    <x v="0"/>
    <x v="0"/>
    <x v="0"/>
    <x v="0"/>
    <x v="9"/>
    <n v="530"/>
    <n v="530"/>
    <n v="305.49599999999998"/>
    <n v="305.49599999999998"/>
    <n v="305.49599999999998"/>
    <n v="305.49599999999998"/>
    <n v="0"/>
    <x v="0"/>
    <n v="0"/>
    <n v="4"/>
    <n v="6"/>
    <n v="72"/>
    <n v="29.51"/>
    <n v="73.98"/>
    <n v="185.74"/>
    <n v="35.933230591620472"/>
    <n v="104.33304759371407"/>
    <n v="166.7634981586946"/>
    <n v="15640.300000000001"/>
    <n v="22600.594079999999"/>
    <n v="56742.827039999996"/>
    <n v="19044.612213558848"/>
    <n v="31873.32870768927"/>
    <n v="50945.58163348856"/>
  </r>
  <r>
    <s v="Regular"/>
    <x v="0"/>
    <x v="0"/>
    <x v="0"/>
    <x v="0"/>
    <x v="0"/>
    <x v="0"/>
    <x v="0"/>
    <x v="10"/>
    <n v="543"/>
    <n v="543"/>
    <n v="300.12599999999998"/>
    <n v="300.12599999999998"/>
    <n v="300.12599999999998"/>
    <n v="300.12599999999998"/>
    <n v="0"/>
    <x v="0"/>
    <n v="0"/>
    <n v="4"/>
    <n v="6"/>
    <n v="72"/>
    <n v="29.51"/>
    <n v="73.98"/>
    <n v="185.74"/>
    <n v="35.933230591620472"/>
    <n v="104.33304759371407"/>
    <n v="166.7634981586946"/>
    <n v="16023.93"/>
    <n v="22203.321479999999"/>
    <n v="55745.40324"/>
    <n v="19511.744211249916"/>
    <n v="31313.060242111027"/>
    <n v="50050.061648376373"/>
  </r>
  <r>
    <s v="Regular"/>
    <x v="0"/>
    <x v="0"/>
    <x v="0"/>
    <x v="0"/>
    <x v="0"/>
    <x v="0"/>
    <x v="0"/>
    <x v="11"/>
    <n v="530"/>
    <n v="530"/>
    <n v="312.01100000000002"/>
    <n v="312.01100000000002"/>
    <n v="312.01100000000002"/>
    <n v="312.01100000000002"/>
    <n v="0"/>
    <x v="0"/>
    <n v="0"/>
    <n v="4"/>
    <n v="6"/>
    <n v="72"/>
    <n v="29.51"/>
    <n v="73.98"/>
    <n v="185.74"/>
    <n v="35.933230591620472"/>
    <n v="104.33304759371407"/>
    <n v="166.7634981586946"/>
    <n v="15640.300000000001"/>
    <n v="23082.573780000002"/>
    <n v="57952.923140000006"/>
    <n v="19044.612213558848"/>
    <n v="32553.058512762324"/>
    <n v="52032.045823992463"/>
  </r>
  <r>
    <s v="Regular"/>
    <x v="0"/>
    <x v="0"/>
    <x v="0"/>
    <x v="0"/>
    <x v="0"/>
    <x v="0"/>
    <x v="1"/>
    <x v="0"/>
    <n v="550"/>
    <n v="550"/>
    <n v="29.044"/>
    <n v="29.044"/>
    <n v="29.044"/>
    <n v="29.044"/>
    <n v="0"/>
    <x v="0"/>
    <n v="0"/>
    <n v="1"/>
    <n v="6"/>
    <n v="71"/>
    <n v="89.42"/>
    <n v="73.98"/>
    <n v="185.74"/>
    <n v="107.68056618650911"/>
    <n v="104.33304759371407"/>
    <n v="166.7634981586946"/>
    <n v="49181"/>
    <n v="2148.6751200000003"/>
    <n v="5394.63256"/>
    <n v="59224.31140258001"/>
    <n v="3030.2490343118316"/>
    <n v="4843.4790405211261"/>
  </r>
  <r>
    <s v="Regular"/>
    <x v="0"/>
    <x v="0"/>
    <x v="0"/>
    <x v="0"/>
    <x v="0"/>
    <x v="0"/>
    <x v="1"/>
    <x v="1"/>
    <n v="533"/>
    <n v="533"/>
    <n v="28.974"/>
    <n v="28.974"/>
    <n v="28.974"/>
    <n v="28.974"/>
    <n v="0"/>
    <x v="0"/>
    <n v="0"/>
    <n v="1"/>
    <n v="6"/>
    <n v="71"/>
    <n v="89.42"/>
    <n v="73.98"/>
    <n v="185.74"/>
    <n v="107.68056618650911"/>
    <n v="104.33304759371407"/>
    <n v="166.7634981586946"/>
    <n v="47660.86"/>
    <n v="2143.4965200000001"/>
    <n v="5381.63076"/>
    <n v="57393.741777409356"/>
    <n v="3022.9457209802713"/>
    <n v="4831.8055956500175"/>
  </r>
  <r>
    <s v="Regular"/>
    <x v="0"/>
    <x v="0"/>
    <x v="0"/>
    <x v="0"/>
    <x v="0"/>
    <x v="0"/>
    <x v="1"/>
    <x v="2"/>
    <n v="555"/>
    <n v="555"/>
    <n v="30.646999999999998"/>
    <n v="30.646999999999998"/>
    <n v="30.646999999999998"/>
    <n v="30.646999999999998"/>
    <n v="0"/>
    <x v="0"/>
    <n v="0"/>
    <n v="1"/>
    <n v="6"/>
    <n v="71"/>
    <n v="89.42"/>
    <n v="73.98"/>
    <n v="185.74"/>
    <n v="107.68056618650911"/>
    <n v="104.33304759371407"/>
    <n v="166.7634981586946"/>
    <n v="49628.1"/>
    <n v="2267.2650600000002"/>
    <n v="5692.3737799999999"/>
    <n v="59762.714233512554"/>
    <n v="3197.4949096045548"/>
    <n v="5110.8009280695132"/>
  </r>
  <r>
    <s v="Regular"/>
    <x v="0"/>
    <x v="0"/>
    <x v="0"/>
    <x v="0"/>
    <x v="0"/>
    <x v="0"/>
    <x v="1"/>
    <x v="3"/>
    <n v="544"/>
    <n v="544"/>
    <n v="33.9"/>
    <n v="33.9"/>
    <n v="33.9"/>
    <n v="33.9"/>
    <n v="0"/>
    <x v="0"/>
    <n v="0"/>
    <n v="1"/>
    <n v="6"/>
    <n v="71"/>
    <n v="89.42"/>
    <n v="73.98"/>
    <n v="185.74"/>
    <n v="107.68056618650911"/>
    <n v="104.33304759371407"/>
    <n v="166.7634981586946"/>
    <n v="48644.480000000003"/>
    <n v="2507.922"/>
    <n v="6296.5860000000002"/>
    <n v="58578.228005460958"/>
    <n v="3536.8903134269067"/>
    <n v="5653.2825875797471"/>
  </r>
  <r>
    <s v="Regular"/>
    <x v="0"/>
    <x v="0"/>
    <x v="0"/>
    <x v="0"/>
    <x v="0"/>
    <x v="0"/>
    <x v="1"/>
    <x v="4"/>
    <n v="581"/>
    <n v="581"/>
    <n v="33.347000000000001"/>
    <n v="33.347000000000001"/>
    <n v="33.347000000000001"/>
    <n v="33.347000000000001"/>
    <n v="0"/>
    <x v="0"/>
    <n v="0"/>
    <n v="1"/>
    <n v="6"/>
    <n v="71"/>
    <n v="89.42"/>
    <n v="73.98"/>
    <n v="185.74"/>
    <n v="107.68056618650911"/>
    <n v="104.33304759371407"/>
    <n v="166.7634981586946"/>
    <n v="51953.020000000004"/>
    <n v="2467.0110600000003"/>
    <n v="6193.8717800000004"/>
    <n v="62562.408954361796"/>
    <n v="3479.1941381075831"/>
    <n v="5561.0623730979887"/>
  </r>
  <r>
    <s v="Regular"/>
    <x v="0"/>
    <x v="0"/>
    <x v="0"/>
    <x v="0"/>
    <x v="0"/>
    <x v="0"/>
    <x v="1"/>
    <x v="5"/>
    <n v="582"/>
    <n v="582"/>
    <n v="30.992000000000001"/>
    <n v="30.992000000000001"/>
    <n v="30.992000000000001"/>
    <n v="30.992000000000001"/>
    <n v="0"/>
    <x v="0"/>
    <n v="0"/>
    <n v="1"/>
    <n v="6"/>
    <n v="71"/>
    <n v="89.42"/>
    <n v="73.98"/>
    <n v="185.74"/>
    <n v="107.68056618650911"/>
    <n v="104.33304759371407"/>
    <n v="166.7634981586946"/>
    <n v="52042.44"/>
    <n v="2292.7881600000001"/>
    <n v="5756.4540800000004"/>
    <n v="62670.089520548303"/>
    <n v="3233.4898110243867"/>
    <n v="5168.3343349342631"/>
  </r>
  <r>
    <s v="Regular"/>
    <x v="0"/>
    <x v="0"/>
    <x v="0"/>
    <x v="0"/>
    <x v="0"/>
    <x v="0"/>
    <x v="1"/>
    <x v="6"/>
    <n v="527"/>
    <n v="527"/>
    <n v="33.256"/>
    <n v="33.256"/>
    <n v="33.256"/>
    <n v="33.256"/>
    <n v="0"/>
    <x v="0"/>
    <n v="0"/>
    <n v="1"/>
    <n v="6"/>
    <n v="71"/>
    <n v="89.42"/>
    <n v="73.98"/>
    <n v="185.74"/>
    <n v="107.68056618650911"/>
    <n v="104.33304759371407"/>
    <n v="166.7634981586946"/>
    <n v="47124.340000000004"/>
    <n v="2460.2788800000003"/>
    <n v="6176.9694400000008"/>
    <n v="56747.658380290304"/>
    <n v="3469.6998307765552"/>
    <n v="5545.8868947655474"/>
  </r>
  <r>
    <s v="Regular"/>
    <x v="0"/>
    <x v="0"/>
    <x v="0"/>
    <x v="0"/>
    <x v="0"/>
    <x v="0"/>
    <x v="1"/>
    <x v="7"/>
    <n v="527"/>
    <n v="527"/>
    <n v="25.899000000000001"/>
    <n v="25.899000000000001"/>
    <n v="25.899000000000001"/>
    <n v="25.899000000000001"/>
    <n v="0"/>
    <x v="0"/>
    <n v="0"/>
    <n v="1"/>
    <n v="6"/>
    <n v="71"/>
    <n v="89.42"/>
    <n v="73.98"/>
    <n v="185.74"/>
    <n v="107.68056618650911"/>
    <n v="104.33304759371407"/>
    <n v="166.7634981586946"/>
    <n v="47124.340000000004"/>
    <n v="1916.0080200000002"/>
    <n v="4810.4802600000003"/>
    <n v="56747.658380290304"/>
    <n v="2702.121599629601"/>
    <n v="4319.0078388120319"/>
  </r>
  <r>
    <s v="Regular"/>
    <x v="0"/>
    <x v="0"/>
    <x v="0"/>
    <x v="0"/>
    <x v="0"/>
    <x v="0"/>
    <x v="1"/>
    <x v="8"/>
    <n v="533"/>
    <n v="533"/>
    <n v="29.103000000000002"/>
    <n v="29.103000000000002"/>
    <n v="29.103000000000002"/>
    <n v="29.103000000000002"/>
    <n v="0"/>
    <x v="0"/>
    <n v="0"/>
    <n v="1"/>
    <n v="6"/>
    <n v="71"/>
    <n v="89.42"/>
    <n v="73.98"/>
    <n v="185.74"/>
    <n v="107.68056618650911"/>
    <n v="104.33304759371407"/>
    <n v="166.7634981586946"/>
    <n v="47660.86"/>
    <n v="2153.0399400000001"/>
    <n v="5405.5912200000002"/>
    <n v="57393.741777409356"/>
    <n v="3036.4046841198606"/>
    <n v="4853.318086912489"/>
  </r>
  <r>
    <s v="Regular"/>
    <x v="0"/>
    <x v="0"/>
    <x v="0"/>
    <x v="0"/>
    <x v="0"/>
    <x v="0"/>
    <x v="1"/>
    <x v="9"/>
    <n v="529"/>
    <n v="529"/>
    <n v="32.063000000000002"/>
    <n v="32.063000000000002"/>
    <n v="32.063000000000002"/>
    <n v="32.063000000000002"/>
    <n v="0"/>
    <x v="0"/>
    <n v="0"/>
    <n v="1"/>
    <n v="6"/>
    <n v="71"/>
    <n v="89.42"/>
    <n v="73.98"/>
    <n v="185.74"/>
    <n v="107.68056618650911"/>
    <n v="104.33304759371407"/>
    <n v="166.7634981586946"/>
    <n v="47303.18"/>
    <n v="2372.0207400000004"/>
    <n v="5955.381620000001"/>
    <n v="56963.019512663319"/>
    <n v="3345.2305049972547"/>
    <n v="5346.9380414622256"/>
  </r>
  <r>
    <s v="Regular"/>
    <x v="0"/>
    <x v="0"/>
    <x v="0"/>
    <x v="0"/>
    <x v="0"/>
    <x v="0"/>
    <x v="1"/>
    <x v="10"/>
    <n v="529"/>
    <n v="529"/>
    <n v="29.257000000000001"/>
    <n v="29.257000000000001"/>
    <n v="29.257000000000001"/>
    <n v="29.257000000000001"/>
    <n v="0"/>
    <x v="0"/>
    <n v="0"/>
    <n v="1"/>
    <n v="6"/>
    <n v="71"/>
    <n v="89.42"/>
    <n v="73.98"/>
    <n v="185.74"/>
    <n v="107.68056618650911"/>
    <n v="104.33304759371407"/>
    <n v="166.7634981586946"/>
    <n v="47303.18"/>
    <n v="2164.4328600000003"/>
    <n v="5434.1951800000006"/>
    <n v="56963.019512663319"/>
    <n v="3052.4719734492928"/>
    <n v="4878.9996656289286"/>
  </r>
  <r>
    <s v="Regular"/>
    <x v="0"/>
    <x v="0"/>
    <x v="0"/>
    <x v="0"/>
    <x v="0"/>
    <x v="0"/>
    <x v="1"/>
    <x v="11"/>
    <n v="533"/>
    <n v="533"/>
    <n v="35.159999999999997"/>
    <n v="35.159999999999997"/>
    <n v="35.159999999999997"/>
    <n v="35.159999999999997"/>
    <n v="0"/>
    <x v="0"/>
    <n v="0"/>
    <n v="1"/>
    <n v="6"/>
    <n v="71"/>
    <n v="89.42"/>
    <n v="73.98"/>
    <n v="185.74"/>
    <n v="107.68056618650911"/>
    <n v="104.33304759371407"/>
    <n v="166.7634981586946"/>
    <n v="47660.86"/>
    <n v="2601.1367999999998"/>
    <n v="6530.6183999999994"/>
    <n v="57393.741777409356"/>
    <n v="3668.3499533949862"/>
    <n v="5863.4045952597016"/>
  </r>
  <r>
    <s v="Regular"/>
    <x v="0"/>
    <x v="1"/>
    <x v="0"/>
    <x v="0"/>
    <x v="0"/>
    <x v="0"/>
    <x v="0"/>
    <x v="0"/>
    <n v="0"/>
    <n v="0"/>
    <n v="347.08499999999998"/>
    <n v="347.08499999999998"/>
    <n v="347.08499999999998"/>
    <n v="347.08499999999998"/>
    <n v="0"/>
    <x v="0"/>
    <n v="0"/>
    <n v="0"/>
    <n v="16"/>
    <n v="72"/>
    <n v="0"/>
    <n v="73.98"/>
    <n v="185.74"/>
    <m/>
    <n v="104.33304759371407"/>
    <n v="166.7634981586946"/>
    <n v="0"/>
    <n v="25677.348300000001"/>
    <n v="64467.567900000002"/>
    <n v="0"/>
    <n v="36212.435824064247"/>
    <n v="57881.108758410512"/>
  </r>
  <r>
    <s v="Regular"/>
    <x v="0"/>
    <x v="1"/>
    <x v="0"/>
    <x v="0"/>
    <x v="0"/>
    <x v="0"/>
    <x v="0"/>
    <x v="1"/>
    <n v="0"/>
    <n v="0"/>
    <n v="328.233"/>
    <n v="328.233"/>
    <n v="328.233"/>
    <n v="328.233"/>
    <n v="0"/>
    <x v="0"/>
    <n v="0"/>
    <n v="0"/>
    <n v="16"/>
    <n v="72"/>
    <n v="0"/>
    <n v="73.98"/>
    <n v="185.74"/>
    <m/>
    <n v="104.33304759371407"/>
    <n v="166.7634981586946"/>
    <n v="0"/>
    <n v="24282.677340000002"/>
    <n v="60965.997420000007"/>
    <n v="0"/>
    <n v="34245.54921082755"/>
    <n v="54737.283291122803"/>
  </r>
  <r>
    <s v="Regular"/>
    <x v="0"/>
    <x v="1"/>
    <x v="0"/>
    <x v="0"/>
    <x v="0"/>
    <x v="0"/>
    <x v="0"/>
    <x v="2"/>
    <n v="0"/>
    <n v="0"/>
    <n v="341.13799999999998"/>
    <n v="341.13799999999998"/>
    <n v="341.13799999999998"/>
    <n v="341.13799999999998"/>
    <n v="0"/>
    <x v="0"/>
    <n v="0"/>
    <n v="0"/>
    <n v="16"/>
    <n v="72"/>
    <n v="0"/>
    <n v="73.98"/>
    <n v="185.74"/>
    <m/>
    <n v="104.33304759371407"/>
    <n v="166.7634981586946"/>
    <n v="0"/>
    <n v="25237.38924"/>
    <n v="63362.972119999999"/>
    <n v="0"/>
    <n v="35591.967190024428"/>
    <n v="56889.366234860754"/>
  </r>
  <r>
    <s v="Regular"/>
    <x v="0"/>
    <x v="1"/>
    <x v="0"/>
    <x v="0"/>
    <x v="0"/>
    <x v="0"/>
    <x v="0"/>
    <x v="3"/>
    <n v="0"/>
    <n v="0"/>
    <n v="341.05599999999998"/>
    <n v="341.05599999999998"/>
    <n v="341.05599999999998"/>
    <n v="341.05599999999998"/>
    <n v="0"/>
    <x v="0"/>
    <n v="0"/>
    <n v="0"/>
    <n v="16"/>
    <n v="72"/>
    <n v="0"/>
    <n v="73.98"/>
    <n v="185.74"/>
    <m/>
    <n v="104.33304759371407"/>
    <n v="166.7634981586946"/>
    <n v="0"/>
    <n v="25231.32288"/>
    <n v="63347.741439999998"/>
    <n v="0"/>
    <n v="35583.411880121741"/>
    <n v="56875.691628011744"/>
  </r>
  <r>
    <s v="Regular"/>
    <x v="0"/>
    <x v="1"/>
    <x v="0"/>
    <x v="0"/>
    <x v="0"/>
    <x v="0"/>
    <x v="0"/>
    <x v="4"/>
    <n v="0"/>
    <n v="0"/>
    <n v="300.54700000000003"/>
    <n v="300.54700000000003"/>
    <n v="300.54700000000003"/>
    <n v="300.54700000000003"/>
    <n v="0"/>
    <x v="0"/>
    <n v="0"/>
    <n v="0"/>
    <n v="16"/>
    <n v="72"/>
    <n v="0"/>
    <n v="73.98"/>
    <n v="185.74"/>
    <m/>
    <n v="104.33304759371407"/>
    <n v="166.7634981586946"/>
    <n v="0"/>
    <n v="22234.467060000003"/>
    <n v="55823.599780000004"/>
    <n v="0"/>
    <n v="31356.984455147984"/>
    <n v="50120.269081101193"/>
  </r>
  <r>
    <s v="Regular"/>
    <x v="0"/>
    <x v="1"/>
    <x v="0"/>
    <x v="0"/>
    <x v="0"/>
    <x v="0"/>
    <x v="0"/>
    <x v="5"/>
    <n v="0"/>
    <n v="0"/>
    <n v="308.56799999999998"/>
    <n v="308.56799999999998"/>
    <n v="308.56799999999998"/>
    <n v="308.56799999999998"/>
    <n v="0"/>
    <x v="0"/>
    <n v="0"/>
    <n v="0"/>
    <n v="16"/>
    <n v="72"/>
    <n v="0"/>
    <n v="73.98"/>
    <n v="185.74"/>
    <m/>
    <n v="104.33304759371407"/>
    <n v="166.7634981586946"/>
    <n v="0"/>
    <n v="22827.860639999999"/>
    <n v="57313.420319999997"/>
    <n v="0"/>
    <n v="32193.839829897162"/>
    <n v="51457.879099832076"/>
  </r>
  <r>
    <s v="Regular"/>
    <x v="0"/>
    <x v="1"/>
    <x v="0"/>
    <x v="0"/>
    <x v="0"/>
    <x v="0"/>
    <x v="0"/>
    <x v="6"/>
    <n v="0"/>
    <n v="0"/>
    <n v="341.32"/>
    <n v="341.32"/>
    <n v="341.32"/>
    <n v="341.32"/>
    <n v="0"/>
    <x v="0"/>
    <n v="0"/>
    <n v="0"/>
    <n v="16"/>
    <n v="72"/>
    <n v="0"/>
    <n v="73.98"/>
    <n v="185.74"/>
    <m/>
    <n v="104.33304759371407"/>
    <n v="166.7634981586946"/>
    <n v="0"/>
    <n v="25250.853600000002"/>
    <n v="63396.7768"/>
    <n v="0"/>
    <n v="35610.955804686484"/>
    <n v="56919.71719152564"/>
  </r>
  <r>
    <s v="Regular"/>
    <x v="0"/>
    <x v="1"/>
    <x v="0"/>
    <x v="0"/>
    <x v="0"/>
    <x v="0"/>
    <x v="0"/>
    <x v="7"/>
    <n v="0"/>
    <n v="0"/>
    <n v="390.05599999999998"/>
    <n v="390.05599999999998"/>
    <n v="390.05599999999998"/>
    <n v="390.05599999999998"/>
    <n v="0"/>
    <x v="0"/>
    <n v="0"/>
    <n v="0"/>
    <n v="16"/>
    <n v="72"/>
    <n v="0"/>
    <n v="73.98"/>
    <n v="185.74"/>
    <m/>
    <n v="104.33304759371407"/>
    <n v="166.7634981586946"/>
    <n v="0"/>
    <n v="28856.34288"/>
    <n v="72449.001440000007"/>
    <n v="0"/>
    <n v="40695.731212213737"/>
    <n v="65047.103037787776"/>
  </r>
  <r>
    <s v="Regular"/>
    <x v="0"/>
    <x v="1"/>
    <x v="0"/>
    <x v="0"/>
    <x v="0"/>
    <x v="0"/>
    <x v="0"/>
    <x v="8"/>
    <n v="0"/>
    <n v="0"/>
    <n v="411.096"/>
    <n v="411.096"/>
    <n v="411.096"/>
    <n v="411.096"/>
    <n v="0"/>
    <x v="0"/>
    <n v="0"/>
    <n v="0"/>
    <n v="16"/>
    <n v="72"/>
    <n v="0"/>
    <n v="73.98"/>
    <n v="185.74"/>
    <m/>
    <n v="104.33304759371407"/>
    <n v="166.7634981586946"/>
    <n v="0"/>
    <n v="30412.882080000003"/>
    <n v="76356.971040000004"/>
    <n v="0"/>
    <n v="42890.898533585481"/>
    <n v="68555.807039046718"/>
  </r>
  <r>
    <s v="Refaturamento - Regular"/>
    <x v="0"/>
    <x v="1"/>
    <x v="0"/>
    <x v="0"/>
    <x v="0"/>
    <x v="0"/>
    <x v="0"/>
    <x v="8"/>
    <n v="0"/>
    <n v="0"/>
    <n v="-21.530999999999999"/>
    <n v="-21.530999999999999"/>
    <n v="-21.530999999999999"/>
    <n v="-21.530999999999999"/>
    <n v="0"/>
    <x v="0"/>
    <n v="0"/>
    <n v="0"/>
    <n v="16"/>
    <n v="72"/>
    <n v="0"/>
    <n v="73.98"/>
    <n v="185.74"/>
    <m/>
    <n v="104.33304759371407"/>
    <n v="166.7634981586946"/>
    <n v="0"/>
    <n v="-1592.86338"/>
    <n v="-3999.1679399999998"/>
    <n v="0"/>
    <n v="-2246.3948477402573"/>
    <n v="-3590.5848788548533"/>
  </r>
  <r>
    <s v="Regular"/>
    <x v="0"/>
    <x v="1"/>
    <x v="0"/>
    <x v="0"/>
    <x v="0"/>
    <x v="0"/>
    <x v="0"/>
    <x v="9"/>
    <n v="0"/>
    <n v="0"/>
    <n v="335.82299999999998"/>
    <n v="335.82299999999998"/>
    <n v="335.82299999999998"/>
    <n v="335.82299999999998"/>
    <n v="0"/>
    <x v="0"/>
    <n v="0"/>
    <n v="0"/>
    <n v="16"/>
    <n v="72"/>
    <n v="0"/>
    <n v="73.98"/>
    <n v="185.74"/>
    <m/>
    <n v="104.33304759371407"/>
    <n v="166.7634981586946"/>
    <n v="0"/>
    <n v="24844.185539999999"/>
    <n v="62375.764020000002"/>
    <n v="0"/>
    <n v="35037.437042063837"/>
    <n v="56003.018242147293"/>
  </r>
  <r>
    <s v="Regular"/>
    <x v="0"/>
    <x v="1"/>
    <x v="0"/>
    <x v="0"/>
    <x v="0"/>
    <x v="0"/>
    <x v="0"/>
    <x v="10"/>
    <n v="0"/>
    <n v="0"/>
    <n v="428.73"/>
    <n v="428.73"/>
    <n v="428.73"/>
    <n v="428.73"/>
    <n v="0"/>
    <x v="0"/>
    <n v="0"/>
    <n v="0"/>
    <n v="16"/>
    <n v="72"/>
    <n v="0"/>
    <n v="73.98"/>
    <n v="185.74"/>
    <m/>
    <n v="104.33304759371407"/>
    <n v="166.7634981586946"/>
    <n v="0"/>
    <n v="31717.445400000004"/>
    <n v="79632.310200000007"/>
    <n v="0"/>
    <n v="44730.707494853035"/>
    <n v="71496.514565577134"/>
  </r>
  <r>
    <s v="Regular"/>
    <x v="0"/>
    <x v="1"/>
    <x v="0"/>
    <x v="0"/>
    <x v="0"/>
    <x v="0"/>
    <x v="0"/>
    <x v="11"/>
    <n v="0"/>
    <n v="0"/>
    <n v="411.89800000000002"/>
    <n v="411.89800000000002"/>
    <n v="411.89800000000002"/>
    <n v="411.89800000000002"/>
    <n v="0"/>
    <x v="0"/>
    <n v="0"/>
    <n v="0"/>
    <n v="16"/>
    <n v="72"/>
    <n v="0"/>
    <n v="73.98"/>
    <n v="185.74"/>
    <m/>
    <n v="104.33304759371407"/>
    <n v="166.7634981586946"/>
    <n v="0"/>
    <n v="30472.214040000003"/>
    <n v="76505.93452000001"/>
    <n v="0"/>
    <n v="42974.573637755639"/>
    <n v="68689.551364569998"/>
  </r>
  <r>
    <s v="Regular"/>
    <x v="0"/>
    <x v="1"/>
    <x v="0"/>
    <x v="0"/>
    <x v="0"/>
    <x v="0"/>
    <x v="2"/>
    <x v="0"/>
    <n v="1108"/>
    <n v="1108"/>
    <n v="0"/>
    <n v="0"/>
    <n v="0"/>
    <n v="0"/>
    <n v="5"/>
    <x v="0"/>
    <n v="0"/>
    <n v="12"/>
    <n v="0"/>
    <n v="0"/>
    <n v="29.51"/>
    <n v="0"/>
    <n v="0"/>
    <n v="35.933230591620472"/>
    <m/>
    <m/>
    <n v="32697.08"/>
    <n v="0"/>
    <n v="0"/>
    <n v="39814.01949551548"/>
    <n v="0"/>
    <n v="0"/>
  </r>
  <r>
    <s v="Regular"/>
    <x v="0"/>
    <x v="1"/>
    <x v="0"/>
    <x v="0"/>
    <x v="0"/>
    <x v="0"/>
    <x v="2"/>
    <x v="1"/>
    <n v="1108"/>
    <n v="1108"/>
    <n v="0"/>
    <n v="0"/>
    <n v="0"/>
    <n v="0"/>
    <n v="5"/>
    <x v="0"/>
    <n v="0"/>
    <n v="12"/>
    <n v="0"/>
    <n v="0"/>
    <n v="29.51"/>
    <n v="0"/>
    <n v="0"/>
    <n v="35.933230591620472"/>
    <m/>
    <m/>
    <n v="32697.08"/>
    <n v="0"/>
    <n v="0"/>
    <n v="39814.01949551548"/>
    <n v="0"/>
    <n v="0"/>
  </r>
  <r>
    <s v="Regular"/>
    <x v="0"/>
    <x v="1"/>
    <x v="0"/>
    <x v="0"/>
    <x v="0"/>
    <x v="0"/>
    <x v="2"/>
    <x v="2"/>
    <n v="1131"/>
    <n v="1131"/>
    <n v="0"/>
    <n v="0"/>
    <n v="0"/>
    <n v="0"/>
    <n v="5"/>
    <x v="0"/>
    <n v="0"/>
    <n v="12"/>
    <n v="0"/>
    <n v="0"/>
    <n v="29.51"/>
    <n v="0"/>
    <n v="0"/>
    <n v="35.933230591620472"/>
    <m/>
    <m/>
    <n v="33375.810000000005"/>
    <n v="0"/>
    <n v="0"/>
    <n v="40640.483799122754"/>
    <n v="0"/>
    <n v="0"/>
  </r>
  <r>
    <s v="Regular"/>
    <x v="0"/>
    <x v="1"/>
    <x v="0"/>
    <x v="0"/>
    <x v="0"/>
    <x v="0"/>
    <x v="2"/>
    <x v="3"/>
    <n v="1178"/>
    <n v="1178"/>
    <n v="0"/>
    <n v="0"/>
    <n v="0"/>
    <n v="0"/>
    <n v="5"/>
    <x v="0"/>
    <n v="0"/>
    <n v="12"/>
    <n v="0"/>
    <n v="0"/>
    <n v="29.51"/>
    <n v="0"/>
    <n v="0"/>
    <n v="35.933230591620472"/>
    <m/>
    <m/>
    <n v="34762.78"/>
    <n v="0"/>
    <n v="0"/>
    <n v="42329.345636928912"/>
    <n v="0"/>
    <n v="0"/>
  </r>
  <r>
    <s v="Regular"/>
    <x v="0"/>
    <x v="1"/>
    <x v="0"/>
    <x v="0"/>
    <x v="0"/>
    <x v="0"/>
    <x v="2"/>
    <x v="4"/>
    <n v="1123"/>
    <n v="1123"/>
    <n v="0"/>
    <n v="0"/>
    <n v="0"/>
    <n v="0"/>
    <n v="5"/>
    <x v="0"/>
    <n v="0"/>
    <n v="12"/>
    <n v="0"/>
    <n v="0"/>
    <n v="29.51"/>
    <n v="0"/>
    <n v="0"/>
    <n v="35.933230591620472"/>
    <m/>
    <m/>
    <n v="33139.730000000003"/>
    <n v="0"/>
    <n v="0"/>
    <n v="40353.01795438979"/>
    <n v="0"/>
    <n v="0"/>
  </r>
  <r>
    <s v="Regular"/>
    <x v="0"/>
    <x v="1"/>
    <x v="0"/>
    <x v="0"/>
    <x v="0"/>
    <x v="0"/>
    <x v="2"/>
    <x v="5"/>
    <n v="1143"/>
    <n v="1143"/>
    <n v="0"/>
    <n v="0"/>
    <n v="0"/>
    <n v="0"/>
    <n v="5"/>
    <x v="0"/>
    <n v="0"/>
    <n v="12"/>
    <n v="0"/>
    <n v="0"/>
    <n v="29.51"/>
    <n v="0"/>
    <n v="0"/>
    <n v="35.933230591620472"/>
    <m/>
    <m/>
    <n v="33729.93"/>
    <n v="0"/>
    <n v="0"/>
    <n v="41071.682566222196"/>
    <n v="0"/>
    <n v="0"/>
  </r>
  <r>
    <s v="Regular"/>
    <x v="0"/>
    <x v="1"/>
    <x v="0"/>
    <x v="0"/>
    <x v="0"/>
    <x v="0"/>
    <x v="2"/>
    <x v="6"/>
    <n v="1122"/>
    <n v="1122"/>
    <n v="0"/>
    <n v="0"/>
    <n v="0"/>
    <n v="0"/>
    <n v="5"/>
    <x v="0"/>
    <n v="0"/>
    <n v="12"/>
    <n v="0"/>
    <n v="0"/>
    <n v="29.51"/>
    <n v="0"/>
    <n v="0"/>
    <n v="35.933230591620472"/>
    <m/>
    <m/>
    <n v="33110.22"/>
    <n v="0"/>
    <n v="0"/>
    <n v="40317.084723798172"/>
    <n v="0"/>
    <n v="0"/>
  </r>
  <r>
    <s v="Regular"/>
    <x v="0"/>
    <x v="1"/>
    <x v="0"/>
    <x v="0"/>
    <x v="0"/>
    <x v="0"/>
    <x v="2"/>
    <x v="7"/>
    <n v="1166"/>
    <n v="1166"/>
    <n v="0"/>
    <n v="0"/>
    <n v="0"/>
    <n v="0"/>
    <n v="5"/>
    <x v="0"/>
    <n v="0"/>
    <n v="12"/>
    <n v="0"/>
    <n v="0"/>
    <n v="29.51"/>
    <n v="0"/>
    <n v="0"/>
    <n v="35.933230591620472"/>
    <m/>
    <m/>
    <n v="34408.660000000003"/>
    <n v="0"/>
    <n v="0"/>
    <n v="41898.14686982947"/>
    <n v="0"/>
    <n v="0"/>
  </r>
  <r>
    <s v="Regular"/>
    <x v="0"/>
    <x v="1"/>
    <x v="0"/>
    <x v="0"/>
    <x v="0"/>
    <x v="0"/>
    <x v="2"/>
    <x v="8"/>
    <n v="1530"/>
    <n v="1530"/>
    <n v="0"/>
    <n v="0"/>
    <n v="0"/>
    <n v="0"/>
    <n v="6"/>
    <x v="0"/>
    <n v="0"/>
    <n v="12"/>
    <n v="0"/>
    <n v="0"/>
    <n v="29.51"/>
    <n v="0"/>
    <n v="0"/>
    <n v="35.933230591620472"/>
    <m/>
    <m/>
    <n v="45150.3"/>
    <n v="0"/>
    <n v="0"/>
    <n v="54977.842805179323"/>
    <n v="0"/>
    <n v="0"/>
  </r>
  <r>
    <s v="Refaturamento - Regular"/>
    <x v="0"/>
    <x v="1"/>
    <x v="0"/>
    <x v="0"/>
    <x v="0"/>
    <x v="0"/>
    <x v="2"/>
    <x v="8"/>
    <n v="-177"/>
    <n v="-177"/>
    <n v="0"/>
    <n v="0"/>
    <n v="0"/>
    <n v="0"/>
    <n v="0"/>
    <x v="0"/>
    <n v="0"/>
    <n v="12"/>
    <n v="0"/>
    <n v="0"/>
    <n v="29.51"/>
    <n v="0"/>
    <n v="0"/>
    <n v="35.933230591620472"/>
    <m/>
    <m/>
    <n v="-5223.2700000000004"/>
    <n v="0"/>
    <n v="0"/>
    <n v="-6360.1818147168233"/>
    <n v="0"/>
    <n v="0"/>
  </r>
  <r>
    <s v="Regular"/>
    <x v="0"/>
    <x v="1"/>
    <x v="0"/>
    <x v="0"/>
    <x v="0"/>
    <x v="0"/>
    <x v="2"/>
    <x v="9"/>
    <n v="1148"/>
    <n v="1148"/>
    <n v="0"/>
    <n v="0"/>
    <n v="0"/>
    <n v="0"/>
    <n v="6"/>
    <x v="0"/>
    <n v="0"/>
    <n v="12"/>
    <n v="0"/>
    <n v="0"/>
    <n v="29.51"/>
    <n v="0"/>
    <n v="0"/>
    <n v="35.933230591620472"/>
    <m/>
    <m/>
    <n v="33877.480000000003"/>
    <n v="0"/>
    <n v="0"/>
    <n v="41251.3487191803"/>
    <n v="0"/>
    <n v="0"/>
  </r>
  <r>
    <s v="Regular"/>
    <x v="0"/>
    <x v="1"/>
    <x v="0"/>
    <x v="0"/>
    <x v="0"/>
    <x v="0"/>
    <x v="2"/>
    <x v="10"/>
    <n v="1263"/>
    <n v="1263"/>
    <n v="0"/>
    <n v="0"/>
    <n v="0"/>
    <n v="0"/>
    <n v="6"/>
    <x v="0"/>
    <n v="0"/>
    <n v="12"/>
    <n v="0"/>
    <n v="0"/>
    <n v="29.51"/>
    <n v="0"/>
    <n v="0"/>
    <n v="35.933230591620472"/>
    <m/>
    <m/>
    <n v="37271.130000000005"/>
    <n v="0"/>
    <n v="0"/>
    <n v="45383.670237216655"/>
    <n v="0"/>
    <n v="0"/>
  </r>
  <r>
    <s v="Regular"/>
    <x v="0"/>
    <x v="1"/>
    <x v="0"/>
    <x v="0"/>
    <x v="0"/>
    <x v="0"/>
    <x v="2"/>
    <x v="11"/>
    <n v="1196"/>
    <n v="1196"/>
    <n v="0"/>
    <n v="0"/>
    <n v="0"/>
    <n v="0"/>
    <n v="6"/>
    <x v="0"/>
    <n v="0"/>
    <n v="12"/>
    <n v="0"/>
    <n v="0"/>
    <n v="29.51"/>
    <n v="0"/>
    <n v="0"/>
    <n v="35.933230591620472"/>
    <m/>
    <m/>
    <n v="35293.96"/>
    <n v="0"/>
    <n v="0"/>
    <n v="42976.143787578083"/>
    <n v="0"/>
    <n v="0"/>
  </r>
  <r>
    <s v="Regular"/>
    <x v="0"/>
    <x v="1"/>
    <x v="0"/>
    <x v="0"/>
    <x v="0"/>
    <x v="0"/>
    <x v="1"/>
    <x v="0"/>
    <n v="0"/>
    <n v="0"/>
    <n v="13.968"/>
    <n v="13.968"/>
    <n v="13.968"/>
    <n v="13.968"/>
    <n v="0"/>
    <x v="0"/>
    <n v="0"/>
    <n v="0"/>
    <n v="14"/>
    <n v="71"/>
    <n v="0"/>
    <n v="2224.88"/>
    <n v="185.74"/>
    <m/>
    <n v="2694.5005966409608"/>
    <n v="166.7634981586946"/>
    <n v="0"/>
    <n v="31077.12384"/>
    <n v="2594.4163200000003"/>
    <n v="0"/>
    <n v="37636.78433388094"/>
    <n v="2329.352542280646"/>
  </r>
  <r>
    <s v="Regular"/>
    <x v="0"/>
    <x v="1"/>
    <x v="0"/>
    <x v="0"/>
    <x v="0"/>
    <x v="0"/>
    <x v="1"/>
    <x v="1"/>
    <n v="0"/>
    <n v="0"/>
    <n v="6.4290000000000003"/>
    <n v="6.4290000000000003"/>
    <n v="6.4290000000000003"/>
    <n v="6.4290000000000003"/>
    <n v="0"/>
    <x v="0"/>
    <n v="0"/>
    <n v="0"/>
    <n v="14"/>
    <n v="71"/>
    <n v="0"/>
    <n v="2224.88"/>
    <n v="185.74"/>
    <m/>
    <n v="2694.5005966409608"/>
    <n v="166.7634981586946"/>
    <n v="0"/>
    <n v="14303.753520000002"/>
    <n v="1194.12246"/>
    <n v="0"/>
    <n v="17322.944335804739"/>
    <n v="1072.1225296622476"/>
  </r>
  <r>
    <s v="Regular"/>
    <x v="0"/>
    <x v="1"/>
    <x v="0"/>
    <x v="0"/>
    <x v="0"/>
    <x v="0"/>
    <x v="1"/>
    <x v="2"/>
    <n v="0"/>
    <n v="0"/>
    <n v="12.542999999999999"/>
    <n v="12.542999999999999"/>
    <n v="12.542999999999999"/>
    <n v="12.542999999999999"/>
    <n v="0"/>
    <x v="0"/>
    <n v="0"/>
    <n v="0"/>
    <n v="14"/>
    <n v="71"/>
    <n v="0"/>
    <n v="2224.88"/>
    <n v="185.74"/>
    <m/>
    <n v="2694.5005966409608"/>
    <n v="166.7634981586946"/>
    <n v="0"/>
    <n v="27906.669839999999"/>
    <n v="2329.7368200000001"/>
    <n v="0"/>
    <n v="33797.12098366757"/>
    <n v="2091.7145574045062"/>
  </r>
  <r>
    <s v="Regular"/>
    <x v="0"/>
    <x v="1"/>
    <x v="0"/>
    <x v="0"/>
    <x v="0"/>
    <x v="0"/>
    <x v="1"/>
    <x v="3"/>
    <n v="0"/>
    <n v="0"/>
    <n v="9.2059999999999995"/>
    <n v="9.2059999999999995"/>
    <n v="9.2059999999999995"/>
    <n v="9.2059999999999995"/>
    <n v="0"/>
    <x v="0"/>
    <n v="0"/>
    <n v="0"/>
    <n v="14"/>
    <n v="71"/>
    <n v="0"/>
    <n v="2224.88"/>
    <n v="185.74"/>
    <m/>
    <n v="2694.5005966409608"/>
    <n v="166.7634981586946"/>
    <n v="0"/>
    <n v="20482.245279999999"/>
    <n v="1709.9224400000001"/>
    <n v="0"/>
    <n v="24805.572492676685"/>
    <n v="1535.2247640489425"/>
  </r>
  <r>
    <s v="Regular"/>
    <x v="0"/>
    <x v="1"/>
    <x v="0"/>
    <x v="0"/>
    <x v="0"/>
    <x v="0"/>
    <x v="1"/>
    <x v="4"/>
    <n v="0"/>
    <n v="0"/>
    <n v="6.8529999999999998"/>
    <n v="6.8529999999999998"/>
    <n v="6.8529999999999998"/>
    <n v="6.8529999999999998"/>
    <n v="0"/>
    <x v="0"/>
    <n v="0"/>
    <n v="0"/>
    <n v="14"/>
    <n v="71"/>
    <n v="0"/>
    <n v="2224.88"/>
    <n v="185.74"/>
    <m/>
    <n v="2694.5005966409608"/>
    <n v="166.7634981586946"/>
    <n v="0"/>
    <n v="15247.102640000001"/>
    <n v="1272.8762200000001"/>
    <n v="0"/>
    <n v="18465.412588780502"/>
    <n v="1142.8302528815341"/>
  </r>
  <r>
    <s v="Regular"/>
    <x v="0"/>
    <x v="1"/>
    <x v="0"/>
    <x v="0"/>
    <x v="0"/>
    <x v="0"/>
    <x v="1"/>
    <x v="5"/>
    <n v="0"/>
    <n v="0"/>
    <n v="8.2240000000000002"/>
    <n v="8.2240000000000002"/>
    <n v="8.2240000000000002"/>
    <n v="8.2240000000000002"/>
    <n v="0"/>
    <x v="0"/>
    <n v="0"/>
    <n v="0"/>
    <n v="14"/>
    <n v="71"/>
    <n v="0"/>
    <n v="2224.88"/>
    <n v="185.74"/>
    <m/>
    <n v="2694.5005966409608"/>
    <n v="166.7634981586946"/>
    <n v="0"/>
    <n v="18297.413120000001"/>
    <n v="1527.5257600000002"/>
    <n v="0"/>
    <n v="22159.572906775262"/>
    <n v="1371.4630088571043"/>
  </r>
  <r>
    <s v="Regular"/>
    <x v="0"/>
    <x v="1"/>
    <x v="0"/>
    <x v="0"/>
    <x v="0"/>
    <x v="0"/>
    <x v="1"/>
    <x v="6"/>
    <n v="0"/>
    <n v="0"/>
    <n v="6.6360000000000001"/>
    <n v="6.6360000000000001"/>
    <n v="6.6360000000000001"/>
    <n v="6.6360000000000001"/>
    <n v="0"/>
    <x v="0"/>
    <n v="0"/>
    <n v="0"/>
    <n v="14"/>
    <n v="71"/>
    <n v="0"/>
    <n v="2224.88"/>
    <n v="185.74"/>
    <m/>
    <n v="2694.5005966409608"/>
    <n v="166.7634981586946"/>
    <n v="0"/>
    <n v="14764.303680000001"/>
    <n v="1232.5706400000001"/>
    <n v="0"/>
    <n v="17880.705959309416"/>
    <n v="1106.6425737810973"/>
  </r>
  <r>
    <s v="Regular"/>
    <x v="0"/>
    <x v="1"/>
    <x v="0"/>
    <x v="0"/>
    <x v="0"/>
    <x v="0"/>
    <x v="1"/>
    <x v="7"/>
    <n v="0"/>
    <n v="0"/>
    <n v="8.109"/>
    <n v="8.109"/>
    <n v="8.109"/>
    <n v="8.109"/>
    <n v="0"/>
    <x v="0"/>
    <n v="0"/>
    <n v="0"/>
    <n v="14"/>
    <n v="71"/>
    <n v="0"/>
    <n v="2224.88"/>
    <n v="185.74"/>
    <m/>
    <n v="2694.5005966409608"/>
    <n v="166.7634981586946"/>
    <n v="0"/>
    <n v="18041.551920000002"/>
    <n v="1506.1656600000001"/>
    <n v="0"/>
    <n v="21849.705338161551"/>
    <n v="1352.2852065688546"/>
  </r>
  <r>
    <s v="Regular"/>
    <x v="0"/>
    <x v="1"/>
    <x v="0"/>
    <x v="0"/>
    <x v="0"/>
    <x v="0"/>
    <x v="1"/>
    <x v="8"/>
    <n v="0"/>
    <n v="0"/>
    <n v="6.93"/>
    <n v="6.93"/>
    <n v="6.93"/>
    <n v="6.93"/>
    <n v="0"/>
    <x v="0"/>
    <n v="0"/>
    <n v="0"/>
    <n v="14"/>
    <n v="71"/>
    <n v="0"/>
    <n v="2224.88"/>
    <n v="185.74"/>
    <m/>
    <n v="2694.5005966409608"/>
    <n v="166.7634981586946"/>
    <n v="0"/>
    <n v="15418.4184"/>
    <n v="1287.1782000000001"/>
    <n v="0"/>
    <n v="18672.889134721856"/>
    <n v="1155.6710422397537"/>
  </r>
  <r>
    <s v="Refaturamento - Regular"/>
    <x v="0"/>
    <x v="1"/>
    <x v="0"/>
    <x v="0"/>
    <x v="0"/>
    <x v="0"/>
    <x v="1"/>
    <x v="8"/>
    <n v="0"/>
    <n v="0"/>
    <n v="-1.45"/>
    <n v="-1.45"/>
    <n v="-1.45"/>
    <n v="-1.45"/>
    <n v="0"/>
    <x v="0"/>
    <n v="0"/>
    <n v="0"/>
    <n v="14"/>
    <n v="71"/>
    <n v="0"/>
    <n v="2224.88"/>
    <n v="185.74"/>
    <m/>
    <n v="2694.5005966409608"/>
    <n v="166.7634981586946"/>
    <n v="0"/>
    <n v="-3226.076"/>
    <n v="-269.32299999999998"/>
    <n v="0"/>
    <n v="-3907.025865129393"/>
    <n v="-241.80707233010716"/>
  </r>
  <r>
    <s v="Regular"/>
    <x v="0"/>
    <x v="1"/>
    <x v="0"/>
    <x v="0"/>
    <x v="0"/>
    <x v="0"/>
    <x v="1"/>
    <x v="9"/>
    <n v="0"/>
    <n v="0"/>
    <n v="5.4790000000000001"/>
    <n v="5.4790000000000001"/>
    <n v="5.4790000000000001"/>
    <n v="5.4790000000000001"/>
    <n v="0"/>
    <x v="0"/>
    <n v="0"/>
    <n v="0"/>
    <n v="14"/>
    <n v="71"/>
    <n v="0"/>
    <n v="2224.88"/>
    <n v="185.74"/>
    <m/>
    <n v="2694.5005966409608"/>
    <n v="166.7634981586946"/>
    <n v="0"/>
    <n v="12190.117520000002"/>
    <n v="1017.6694600000001"/>
    <n v="0"/>
    <n v="14763.168768995825"/>
    <n v="913.69720641148774"/>
  </r>
  <r>
    <s v="Regular"/>
    <x v="0"/>
    <x v="1"/>
    <x v="0"/>
    <x v="0"/>
    <x v="0"/>
    <x v="0"/>
    <x v="1"/>
    <x v="10"/>
    <n v="0"/>
    <n v="0"/>
    <n v="16.074999999999999"/>
    <n v="16.074999999999999"/>
    <n v="16.074999999999999"/>
    <n v="16.074999999999999"/>
    <n v="0"/>
    <x v="0"/>
    <n v="0"/>
    <n v="0"/>
    <n v="14"/>
    <n v="71"/>
    <n v="0"/>
    <n v="2224.88"/>
    <n v="185.74"/>
    <m/>
    <n v="2694.5005966409608"/>
    <n v="166.7634981586946"/>
    <n v="0"/>
    <n v="35764.946000000004"/>
    <n v="2985.7705000000001"/>
    <n v="0"/>
    <n v="43314.097091003445"/>
    <n v="2680.7232329010158"/>
  </r>
  <r>
    <s v="Regular"/>
    <x v="0"/>
    <x v="1"/>
    <x v="0"/>
    <x v="0"/>
    <x v="0"/>
    <x v="0"/>
    <x v="1"/>
    <x v="11"/>
    <n v="0"/>
    <n v="0"/>
    <n v="8.0719999999999992"/>
    <n v="8.0719999999999992"/>
    <n v="8.0719999999999992"/>
    <n v="8.0719999999999992"/>
    <n v="0"/>
    <x v="0"/>
    <n v="0"/>
    <n v="0"/>
    <n v="14"/>
    <n v="71"/>
    <n v="0"/>
    <n v="2224.88"/>
    <n v="185.74"/>
    <m/>
    <n v="2694.5005966409608"/>
    <n v="166.7634981586946"/>
    <n v="0"/>
    <n v="17959.231359999998"/>
    <n v="1499.2932799999999"/>
    <n v="0"/>
    <n v="21750.008816085832"/>
    <n v="1346.1149571369826"/>
  </r>
  <r>
    <s v="Regular"/>
    <x v="0"/>
    <x v="1"/>
    <x v="1"/>
    <x v="0"/>
    <x v="0"/>
    <x v="0"/>
    <x v="0"/>
    <x v="0"/>
    <n v="0"/>
    <n v="0"/>
    <n v="56.646000000000001"/>
    <n v="56.646000000000001"/>
    <n v="56.646000000000001"/>
    <n v="56.646000000000001"/>
    <n v="0"/>
    <x v="0"/>
    <n v="0"/>
    <n v="0"/>
    <n v="16"/>
    <n v="72"/>
    <n v="0"/>
    <n v="73.98"/>
    <n v="185.74"/>
    <m/>
    <n v="104.33304759371407"/>
    <n v="166.7634981586946"/>
    <n v="0"/>
    <n v="4190.6710800000001"/>
    <n v="10521.428040000001"/>
    <n v="0"/>
    <n v="5910.0498139935271"/>
    <n v="9446.4851166974149"/>
  </r>
  <r>
    <s v="Regular"/>
    <x v="0"/>
    <x v="1"/>
    <x v="1"/>
    <x v="0"/>
    <x v="0"/>
    <x v="0"/>
    <x v="0"/>
    <x v="1"/>
    <n v="0"/>
    <n v="0"/>
    <n v="43.018000000000001"/>
    <n v="43.018000000000001"/>
    <n v="43.018000000000001"/>
    <n v="43.018000000000001"/>
    <n v="0"/>
    <x v="0"/>
    <n v="0"/>
    <n v="0"/>
    <n v="16"/>
    <n v="72"/>
    <n v="0"/>
    <n v="73.98"/>
    <n v="185.74"/>
    <m/>
    <n v="104.33304759371407"/>
    <n v="166.7634981586946"/>
    <n v="0"/>
    <n v="3182.4716400000002"/>
    <n v="7990.1633200000006"/>
    <n v="0"/>
    <n v="4488.1990413863923"/>
    <n v="7173.8321637907247"/>
  </r>
  <r>
    <s v="Regular"/>
    <x v="0"/>
    <x v="1"/>
    <x v="1"/>
    <x v="0"/>
    <x v="0"/>
    <x v="0"/>
    <x v="0"/>
    <x v="2"/>
    <n v="0"/>
    <n v="0"/>
    <n v="57.822000000000003"/>
    <n v="57.822000000000003"/>
    <n v="57.822000000000003"/>
    <n v="57.822000000000003"/>
    <n v="0"/>
    <x v="0"/>
    <n v="0"/>
    <n v="0"/>
    <n v="16"/>
    <n v="72"/>
    <n v="0"/>
    <n v="73.98"/>
    <n v="185.74"/>
    <m/>
    <n v="104.33304759371407"/>
    <n v="166.7634981586946"/>
    <n v="0"/>
    <n v="4277.6715600000007"/>
    <n v="10739.85828"/>
    <n v="0"/>
    <n v="6032.7454779637355"/>
    <n v="9642.5989905320403"/>
  </r>
  <r>
    <s v="Regular"/>
    <x v="0"/>
    <x v="1"/>
    <x v="1"/>
    <x v="0"/>
    <x v="0"/>
    <x v="0"/>
    <x v="0"/>
    <x v="3"/>
    <n v="0"/>
    <n v="0"/>
    <n v="37.273000000000003"/>
    <n v="37.273000000000003"/>
    <n v="37.273000000000003"/>
    <n v="37.273000000000003"/>
    <n v="0"/>
    <x v="0"/>
    <n v="0"/>
    <n v="0"/>
    <n v="16"/>
    <n v="72"/>
    <n v="0"/>
    <n v="73.98"/>
    <n v="185.74"/>
    <m/>
    <n v="104.33304759371407"/>
    <n v="166.7634981586946"/>
    <n v="0"/>
    <n v="2757.4565400000006"/>
    <n v="6923.0870200000008"/>
    <n v="0"/>
    <n v="3888.8056829605048"/>
    <n v="6215.7758668690249"/>
  </r>
  <r>
    <s v="Regular"/>
    <x v="0"/>
    <x v="1"/>
    <x v="1"/>
    <x v="0"/>
    <x v="0"/>
    <x v="0"/>
    <x v="0"/>
    <x v="4"/>
    <n v="0"/>
    <n v="0"/>
    <n v="54.472999999999999"/>
    <n v="54.472999999999999"/>
    <n v="54.472999999999999"/>
    <n v="54.472999999999999"/>
    <n v="0"/>
    <x v="0"/>
    <n v="0"/>
    <n v="0"/>
    <n v="16"/>
    <n v="72"/>
    <n v="0"/>
    <n v="73.98"/>
    <n v="185.74"/>
    <m/>
    <n v="104.33304759371407"/>
    <n v="166.7634981586946"/>
    <n v="0"/>
    <n v="4029.9125400000003"/>
    <n v="10117.81502"/>
    <n v="0"/>
    <n v="5683.3341015723863"/>
    <n v="9084.1080351985711"/>
  </r>
  <r>
    <s v="Regular"/>
    <x v="0"/>
    <x v="1"/>
    <x v="1"/>
    <x v="0"/>
    <x v="0"/>
    <x v="0"/>
    <x v="0"/>
    <x v="5"/>
    <n v="0"/>
    <n v="0"/>
    <n v="40.412999999999997"/>
    <n v="40.412999999999997"/>
    <n v="40.412999999999997"/>
    <n v="40.412999999999997"/>
    <n v="0"/>
    <x v="0"/>
    <n v="0"/>
    <n v="0"/>
    <n v="16"/>
    <n v="72"/>
    <n v="0"/>
    <n v="73.98"/>
    <n v="185.74"/>
    <m/>
    <n v="104.33304759371407"/>
    <n v="166.7634981586946"/>
    <n v="0"/>
    <n v="2989.7537400000001"/>
    <n v="7506.3106200000002"/>
    <n v="0"/>
    <n v="4216.4114524047664"/>
    <n v="6739.4132510873242"/>
  </r>
  <r>
    <s v="Regular"/>
    <x v="0"/>
    <x v="1"/>
    <x v="1"/>
    <x v="0"/>
    <x v="0"/>
    <x v="0"/>
    <x v="0"/>
    <x v="6"/>
    <n v="0"/>
    <n v="0"/>
    <n v="46.277000000000001"/>
    <n v="46.277000000000001"/>
    <n v="46.277000000000001"/>
    <n v="46.277000000000001"/>
    <n v="0"/>
    <x v="0"/>
    <n v="0"/>
    <n v="0"/>
    <n v="16"/>
    <n v="72"/>
    <n v="0"/>
    <n v="73.98"/>
    <n v="185.74"/>
    <m/>
    <n v="104.33304759371407"/>
    <n v="166.7634981586946"/>
    <n v="0"/>
    <n v="3423.5724600000003"/>
    <n v="8595.4899800000003"/>
    <n v="0"/>
    <n v="4828.220443494306"/>
    <n v="7717.3144042899103"/>
  </r>
  <r>
    <s v="Regular"/>
    <x v="0"/>
    <x v="1"/>
    <x v="1"/>
    <x v="0"/>
    <x v="0"/>
    <x v="0"/>
    <x v="0"/>
    <x v="7"/>
    <n v="0"/>
    <n v="0"/>
    <n v="39.561"/>
    <n v="39.561"/>
    <n v="39.561"/>
    <n v="39.561"/>
    <n v="0"/>
    <x v="0"/>
    <n v="0"/>
    <n v="0"/>
    <n v="16"/>
    <n v="72"/>
    <n v="0"/>
    <n v="73.98"/>
    <n v="185.74"/>
    <m/>
    <n v="104.33304759371407"/>
    <n v="166.7634981586946"/>
    <n v="0"/>
    <n v="2926.7227800000001"/>
    <n v="7348.0601400000005"/>
    <n v="0"/>
    <n v="4127.5196958549222"/>
    <n v="6597.3307506561168"/>
  </r>
  <r>
    <s v="Regular"/>
    <x v="0"/>
    <x v="1"/>
    <x v="1"/>
    <x v="0"/>
    <x v="0"/>
    <x v="0"/>
    <x v="0"/>
    <x v="8"/>
    <n v="0"/>
    <n v="0"/>
    <n v="50.875999999999998"/>
    <n v="50.875999999999998"/>
    <n v="50.875999999999998"/>
    <n v="50.875999999999998"/>
    <n v="0"/>
    <x v="0"/>
    <n v="0"/>
    <n v="0"/>
    <n v="16"/>
    <n v="72"/>
    <n v="0"/>
    <n v="73.98"/>
    <n v="185.74"/>
    <m/>
    <n v="104.33304759371407"/>
    <n v="166.7634981586946"/>
    <n v="0"/>
    <n v="3763.8064800000002"/>
    <n v="9449.7082399999999"/>
    <n v="0"/>
    <n v="5308.0481293777966"/>
    <n v="8484.2597323217469"/>
  </r>
  <r>
    <s v="Regular"/>
    <x v="0"/>
    <x v="1"/>
    <x v="1"/>
    <x v="0"/>
    <x v="0"/>
    <x v="0"/>
    <x v="0"/>
    <x v="9"/>
    <n v="0"/>
    <n v="0"/>
    <n v="29.097000000000001"/>
    <n v="29.097000000000001"/>
    <n v="29.097000000000001"/>
    <n v="29.097000000000001"/>
    <n v="0"/>
    <x v="0"/>
    <n v="0"/>
    <n v="0"/>
    <n v="16"/>
    <n v="72"/>
    <n v="0"/>
    <n v="73.98"/>
    <n v="185.74"/>
    <m/>
    <n v="104.33304759371407"/>
    <n v="166.7634981586946"/>
    <n v="0"/>
    <n v="2152.5960600000003"/>
    <n v="5404.4767800000009"/>
    <n v="0"/>
    <n v="3035.7786858342984"/>
    <n v="4852.3175059235373"/>
  </r>
  <r>
    <s v="Regular"/>
    <x v="0"/>
    <x v="1"/>
    <x v="1"/>
    <x v="0"/>
    <x v="0"/>
    <x v="0"/>
    <x v="0"/>
    <x v="10"/>
    <n v="0"/>
    <n v="0"/>
    <n v="42.253999999999998"/>
    <n v="42.253999999999998"/>
    <n v="42.253999999999998"/>
    <n v="42.253999999999998"/>
    <n v="0"/>
    <x v="0"/>
    <n v="0"/>
    <n v="0"/>
    <n v="16"/>
    <n v="72"/>
    <n v="0"/>
    <n v="73.98"/>
    <n v="185.74"/>
    <m/>
    <n v="104.33304759371407"/>
    <n v="166.7634981586946"/>
    <n v="0"/>
    <n v="3125.9509200000002"/>
    <n v="7848.2579599999999"/>
    <n v="0"/>
    <n v="4408.4885930247938"/>
    <n v="7046.4248511974811"/>
  </r>
  <r>
    <s v="Regular"/>
    <x v="0"/>
    <x v="1"/>
    <x v="1"/>
    <x v="0"/>
    <x v="0"/>
    <x v="0"/>
    <x v="0"/>
    <x v="11"/>
    <n v="0"/>
    <n v="0"/>
    <n v="47.945"/>
    <n v="47.945"/>
    <n v="47.945"/>
    <n v="47.945"/>
    <n v="0"/>
    <x v="0"/>
    <n v="0"/>
    <n v="0"/>
    <n v="16"/>
    <n v="72"/>
    <n v="0"/>
    <n v="73.98"/>
    <n v="185.74"/>
    <m/>
    <n v="104.33304759371407"/>
    <n v="166.7634981586946"/>
    <n v="0"/>
    <n v="3546.9711000000002"/>
    <n v="8905.3042999999998"/>
    <n v="0"/>
    <n v="5002.2479668806209"/>
    <n v="7995.4759192186129"/>
  </r>
  <r>
    <s v="Regular"/>
    <x v="0"/>
    <x v="1"/>
    <x v="1"/>
    <x v="0"/>
    <x v="0"/>
    <x v="0"/>
    <x v="2"/>
    <x v="0"/>
    <n v="329"/>
    <n v="329"/>
    <n v="0"/>
    <n v="0"/>
    <n v="0"/>
    <n v="0"/>
    <n v="5"/>
    <x v="0"/>
    <n v="0"/>
    <n v="12"/>
    <n v="0"/>
    <n v="0"/>
    <n v="29.51"/>
    <n v="0"/>
    <n v="0"/>
    <n v="35.933230591620472"/>
    <m/>
    <m/>
    <n v="9708.7900000000009"/>
    <n v="0"/>
    <n v="0"/>
    <n v="11822.032864643135"/>
    <n v="0"/>
    <n v="0"/>
  </r>
  <r>
    <s v="Regular"/>
    <x v="0"/>
    <x v="1"/>
    <x v="1"/>
    <x v="0"/>
    <x v="0"/>
    <x v="0"/>
    <x v="2"/>
    <x v="1"/>
    <n v="320"/>
    <n v="320"/>
    <n v="0"/>
    <n v="0"/>
    <n v="0"/>
    <n v="0"/>
    <n v="5"/>
    <x v="0"/>
    <n v="0"/>
    <n v="12"/>
    <n v="0"/>
    <n v="0"/>
    <n v="29.51"/>
    <n v="0"/>
    <n v="0"/>
    <n v="35.933230591620472"/>
    <m/>
    <m/>
    <n v="9443.2000000000007"/>
    <n v="0"/>
    <n v="0"/>
    <n v="11498.633789318552"/>
    <n v="0"/>
    <n v="0"/>
  </r>
  <r>
    <s v="Regular"/>
    <x v="0"/>
    <x v="1"/>
    <x v="1"/>
    <x v="0"/>
    <x v="0"/>
    <x v="0"/>
    <x v="2"/>
    <x v="2"/>
    <n v="341"/>
    <n v="341"/>
    <n v="0"/>
    <n v="0"/>
    <n v="0"/>
    <n v="0"/>
    <n v="5"/>
    <x v="0"/>
    <n v="0"/>
    <n v="12"/>
    <n v="0"/>
    <n v="0"/>
    <n v="29.51"/>
    <n v="0"/>
    <n v="0"/>
    <n v="35.933230591620472"/>
    <m/>
    <m/>
    <n v="10062.91"/>
    <n v="0"/>
    <n v="0"/>
    <n v="12253.231631742581"/>
    <n v="0"/>
    <n v="0"/>
  </r>
  <r>
    <s v="Regular"/>
    <x v="0"/>
    <x v="1"/>
    <x v="1"/>
    <x v="0"/>
    <x v="0"/>
    <x v="0"/>
    <x v="2"/>
    <x v="3"/>
    <n v="337"/>
    <n v="337"/>
    <n v="0"/>
    <n v="0"/>
    <n v="0"/>
    <n v="0"/>
    <n v="5"/>
    <x v="0"/>
    <n v="0"/>
    <n v="12"/>
    <n v="0"/>
    <n v="0"/>
    <n v="29.51"/>
    <n v="0"/>
    <n v="0"/>
    <n v="35.933230591620472"/>
    <m/>
    <m/>
    <n v="9944.8700000000008"/>
    <n v="0"/>
    <n v="0"/>
    <n v="12109.498709376099"/>
    <n v="0"/>
    <n v="0"/>
  </r>
  <r>
    <s v="Regular"/>
    <x v="0"/>
    <x v="1"/>
    <x v="1"/>
    <x v="0"/>
    <x v="0"/>
    <x v="0"/>
    <x v="2"/>
    <x v="4"/>
    <n v="349"/>
    <n v="349"/>
    <n v="0"/>
    <n v="0"/>
    <n v="0"/>
    <n v="0"/>
    <n v="5"/>
    <x v="0"/>
    <n v="0"/>
    <n v="12"/>
    <n v="0"/>
    <n v="0"/>
    <n v="29.51"/>
    <n v="0"/>
    <n v="0"/>
    <n v="35.933230591620472"/>
    <m/>
    <m/>
    <n v="10298.99"/>
    <n v="0"/>
    <n v="0"/>
    <n v="12540.697476475545"/>
    <n v="0"/>
    <n v="0"/>
  </r>
  <r>
    <s v="Regular"/>
    <x v="0"/>
    <x v="1"/>
    <x v="1"/>
    <x v="0"/>
    <x v="0"/>
    <x v="0"/>
    <x v="2"/>
    <x v="5"/>
    <n v="331"/>
    <n v="331"/>
    <n v="0"/>
    <n v="0"/>
    <n v="0"/>
    <n v="0"/>
    <n v="5"/>
    <x v="0"/>
    <n v="0"/>
    <n v="12"/>
    <n v="0"/>
    <n v="0"/>
    <n v="29.51"/>
    <n v="0"/>
    <n v="0"/>
    <n v="35.933230591620472"/>
    <m/>
    <m/>
    <n v="9767.8100000000013"/>
    <n v="0"/>
    <n v="0"/>
    <n v="11893.899325826376"/>
    <n v="0"/>
    <n v="0"/>
  </r>
  <r>
    <s v="Regular"/>
    <x v="0"/>
    <x v="1"/>
    <x v="1"/>
    <x v="0"/>
    <x v="0"/>
    <x v="0"/>
    <x v="2"/>
    <x v="6"/>
    <n v="339"/>
    <n v="339"/>
    <n v="0"/>
    <n v="0"/>
    <n v="0"/>
    <n v="0"/>
    <n v="5"/>
    <x v="0"/>
    <n v="0"/>
    <n v="12"/>
    <n v="0"/>
    <n v="0"/>
    <n v="29.51"/>
    <n v="0"/>
    <n v="0"/>
    <n v="35.933230591620472"/>
    <m/>
    <m/>
    <n v="10003.890000000001"/>
    <n v="0"/>
    <n v="0"/>
    <n v="12181.36517055934"/>
    <n v="0"/>
    <n v="0"/>
  </r>
  <r>
    <s v="Regular"/>
    <x v="0"/>
    <x v="1"/>
    <x v="1"/>
    <x v="0"/>
    <x v="0"/>
    <x v="0"/>
    <x v="2"/>
    <x v="7"/>
    <n v="337"/>
    <n v="337"/>
    <n v="0"/>
    <n v="0"/>
    <n v="0"/>
    <n v="0"/>
    <n v="5"/>
    <x v="0"/>
    <n v="0"/>
    <n v="12"/>
    <n v="0"/>
    <n v="0"/>
    <n v="29.51"/>
    <n v="0"/>
    <n v="0"/>
    <n v="35.933230591620472"/>
    <m/>
    <m/>
    <n v="9944.8700000000008"/>
    <n v="0"/>
    <n v="0"/>
    <n v="12109.498709376099"/>
    <n v="0"/>
    <n v="0"/>
  </r>
  <r>
    <s v="Regular"/>
    <x v="0"/>
    <x v="1"/>
    <x v="1"/>
    <x v="0"/>
    <x v="0"/>
    <x v="0"/>
    <x v="2"/>
    <x v="8"/>
    <n v="343"/>
    <n v="343"/>
    <n v="0"/>
    <n v="0"/>
    <n v="0"/>
    <n v="0"/>
    <n v="5"/>
    <x v="0"/>
    <n v="0"/>
    <n v="12"/>
    <n v="0"/>
    <n v="0"/>
    <n v="29.51"/>
    <n v="0"/>
    <n v="0"/>
    <n v="35.933230591620472"/>
    <m/>
    <m/>
    <n v="10121.93"/>
    <n v="0"/>
    <n v="0"/>
    <n v="12325.098092925822"/>
    <n v="0"/>
    <n v="0"/>
  </r>
  <r>
    <s v="Regular"/>
    <x v="0"/>
    <x v="1"/>
    <x v="1"/>
    <x v="0"/>
    <x v="0"/>
    <x v="0"/>
    <x v="2"/>
    <x v="9"/>
    <n v="316"/>
    <n v="316"/>
    <n v="0"/>
    <n v="0"/>
    <n v="0"/>
    <n v="0"/>
    <n v="5"/>
    <x v="0"/>
    <n v="0"/>
    <n v="12"/>
    <n v="0"/>
    <n v="0"/>
    <n v="29.51"/>
    <n v="0"/>
    <n v="0"/>
    <n v="35.933230591620472"/>
    <m/>
    <m/>
    <n v="9325.16"/>
    <n v="0"/>
    <n v="0"/>
    <n v="11354.90086695207"/>
    <n v="0"/>
    <n v="0"/>
  </r>
  <r>
    <s v="Regular"/>
    <x v="0"/>
    <x v="1"/>
    <x v="1"/>
    <x v="0"/>
    <x v="0"/>
    <x v="0"/>
    <x v="2"/>
    <x v="10"/>
    <n v="319"/>
    <n v="319"/>
    <n v="0"/>
    <n v="0"/>
    <n v="0"/>
    <n v="0"/>
    <n v="5"/>
    <x v="0"/>
    <n v="0"/>
    <n v="12"/>
    <n v="0"/>
    <n v="0"/>
    <n v="29.51"/>
    <n v="0"/>
    <n v="0"/>
    <n v="35.933230591620472"/>
    <m/>
    <m/>
    <n v="9413.69"/>
    <n v="0"/>
    <n v="0"/>
    <n v="11462.70055872693"/>
    <n v="0"/>
    <n v="0"/>
  </r>
  <r>
    <s v="Regular"/>
    <x v="0"/>
    <x v="1"/>
    <x v="1"/>
    <x v="0"/>
    <x v="0"/>
    <x v="0"/>
    <x v="2"/>
    <x v="11"/>
    <n v="305"/>
    <n v="305"/>
    <n v="0"/>
    <n v="0"/>
    <n v="0"/>
    <n v="0"/>
    <n v="5"/>
    <x v="0"/>
    <n v="0"/>
    <n v="12"/>
    <n v="0"/>
    <n v="0"/>
    <n v="29.51"/>
    <n v="0"/>
    <n v="0"/>
    <n v="35.933230591620472"/>
    <m/>
    <m/>
    <n v="9000.5500000000011"/>
    <n v="0"/>
    <n v="0"/>
    <n v="10959.635330444244"/>
    <n v="0"/>
    <n v="0"/>
  </r>
  <r>
    <s v="Regular"/>
    <x v="0"/>
    <x v="1"/>
    <x v="1"/>
    <x v="0"/>
    <x v="0"/>
    <x v="0"/>
    <x v="1"/>
    <x v="0"/>
    <n v="0"/>
    <n v="0"/>
    <n v="2.9660000000000002"/>
    <n v="2.9660000000000002"/>
    <n v="2.9660000000000002"/>
    <n v="2.9660000000000002"/>
    <n v="0"/>
    <x v="0"/>
    <n v="0"/>
    <n v="0"/>
    <n v="14"/>
    <n v="71"/>
    <n v="0"/>
    <n v="2224.88"/>
    <n v="185.74"/>
    <m/>
    <n v="2694.5005966409608"/>
    <n v="166.7634981586946"/>
    <n v="0"/>
    <n v="6598.9940800000004"/>
    <n v="550.90484000000004"/>
    <n v="0"/>
    <n v="7991.8887696370903"/>
    <n v="494.62053553868822"/>
  </r>
  <r>
    <s v="Regular"/>
    <x v="0"/>
    <x v="1"/>
    <x v="1"/>
    <x v="0"/>
    <x v="0"/>
    <x v="0"/>
    <x v="1"/>
    <x v="1"/>
    <n v="0"/>
    <n v="0"/>
    <n v="1.655"/>
    <n v="1.655"/>
    <n v="1.655"/>
    <n v="1.655"/>
    <n v="0"/>
    <x v="0"/>
    <n v="0"/>
    <n v="0"/>
    <n v="14"/>
    <n v="71"/>
    <n v="0"/>
    <n v="2224.88"/>
    <n v="185.74"/>
    <m/>
    <n v="2694.5005966409608"/>
    <n v="166.7634981586946"/>
    <n v="0"/>
    <n v="3682.1764000000003"/>
    <n v="307.3997"/>
    <n v="0"/>
    <n v="4459.3984874407906"/>
    <n v="275.99358945263958"/>
  </r>
  <r>
    <s v="Regular"/>
    <x v="0"/>
    <x v="1"/>
    <x v="1"/>
    <x v="0"/>
    <x v="0"/>
    <x v="0"/>
    <x v="1"/>
    <x v="2"/>
    <n v="0"/>
    <n v="0"/>
    <n v="2.52"/>
    <n v="2.52"/>
    <n v="2.52"/>
    <n v="2.52"/>
    <n v="0"/>
    <x v="0"/>
    <n v="0"/>
    <n v="0"/>
    <n v="14"/>
    <n v="71"/>
    <n v="0"/>
    <n v="2224.88"/>
    <n v="185.74"/>
    <m/>
    <n v="2694.5005966409608"/>
    <n v="166.7634981586946"/>
    <n v="0"/>
    <n v="5606.6976000000004"/>
    <n v="468.06480000000005"/>
    <n v="0"/>
    <n v="6790.1415035352211"/>
    <n v="420.24401535991041"/>
  </r>
  <r>
    <s v="Regular"/>
    <x v="0"/>
    <x v="1"/>
    <x v="1"/>
    <x v="0"/>
    <x v="0"/>
    <x v="0"/>
    <x v="1"/>
    <x v="3"/>
    <n v="0"/>
    <n v="0"/>
    <n v="1.0369999999999999"/>
    <n v="1.0369999999999999"/>
    <n v="1.0369999999999999"/>
    <n v="1.0369999999999999"/>
    <n v="0"/>
    <x v="0"/>
    <n v="0"/>
    <n v="0"/>
    <n v="14"/>
    <n v="71"/>
    <n v="0"/>
    <n v="2224.88"/>
    <n v="185.74"/>
    <m/>
    <n v="2694.5005966409608"/>
    <n v="166.7634981586946"/>
    <n v="0"/>
    <n v="2307.2005599999998"/>
    <n v="192.61238"/>
    <n v="0"/>
    <n v="2794.197118716676"/>
    <n v="172.9337475905663"/>
  </r>
  <r>
    <s v="Regular"/>
    <x v="0"/>
    <x v="1"/>
    <x v="1"/>
    <x v="0"/>
    <x v="0"/>
    <x v="0"/>
    <x v="1"/>
    <x v="4"/>
    <n v="0"/>
    <n v="0"/>
    <n v="1.9650000000000001"/>
    <n v="1.9650000000000001"/>
    <n v="1.9650000000000001"/>
    <n v="1.9650000000000001"/>
    <n v="0"/>
    <x v="0"/>
    <n v="0"/>
    <n v="0"/>
    <n v="14"/>
    <n v="71"/>
    <n v="0"/>
    <n v="2224.88"/>
    <n v="185.74"/>
    <m/>
    <n v="2694.5005966409608"/>
    <n v="166.7634981586946"/>
    <n v="0"/>
    <n v="4371.8892000000005"/>
    <n v="364.97910000000002"/>
    <n v="0"/>
    <n v="5294.6936723994886"/>
    <n v="327.69027388183491"/>
  </r>
  <r>
    <s v="Regular"/>
    <x v="0"/>
    <x v="1"/>
    <x v="1"/>
    <x v="0"/>
    <x v="0"/>
    <x v="0"/>
    <x v="1"/>
    <x v="5"/>
    <n v="0"/>
    <n v="0"/>
    <n v="0.86"/>
    <n v="0.86"/>
    <n v="0.86"/>
    <n v="0.86"/>
    <n v="0"/>
    <x v="0"/>
    <n v="0"/>
    <n v="0"/>
    <n v="14"/>
    <n v="71"/>
    <n v="0"/>
    <n v="2224.88"/>
    <n v="185.74"/>
    <m/>
    <n v="2694.5005966409608"/>
    <n v="166.7634981586946"/>
    <n v="0"/>
    <n v="1913.3968"/>
    <n v="159.7364"/>
    <n v="0"/>
    <n v="2317.2705131112261"/>
    <n v="143.41660841647735"/>
  </r>
  <r>
    <s v="Regular"/>
    <x v="0"/>
    <x v="1"/>
    <x v="1"/>
    <x v="0"/>
    <x v="0"/>
    <x v="0"/>
    <x v="1"/>
    <x v="6"/>
    <n v="0"/>
    <n v="0"/>
    <n v="1.3620000000000001"/>
    <n v="1.3620000000000001"/>
    <n v="1.3620000000000001"/>
    <n v="1.3620000000000001"/>
    <n v="0"/>
    <x v="0"/>
    <n v="0"/>
    <n v="0"/>
    <n v="14"/>
    <n v="71"/>
    <n v="0"/>
    <n v="2224.88"/>
    <n v="185.74"/>
    <m/>
    <n v="2694.5005966409608"/>
    <n v="166.7634981586946"/>
    <n v="0"/>
    <n v="3030.2865600000005"/>
    <n v="252.97788000000003"/>
    <n v="0"/>
    <n v="3669.9098126249887"/>
    <n v="227.13188449214206"/>
  </r>
  <r>
    <s v="Regular"/>
    <x v="0"/>
    <x v="1"/>
    <x v="1"/>
    <x v="0"/>
    <x v="0"/>
    <x v="0"/>
    <x v="1"/>
    <x v="7"/>
    <n v="0"/>
    <n v="0"/>
    <n v="0.72299999999999998"/>
    <n v="0.72299999999999998"/>
    <n v="0.72299999999999998"/>
    <n v="0.72299999999999998"/>
    <n v="0"/>
    <x v="0"/>
    <n v="0"/>
    <n v="0"/>
    <n v="14"/>
    <n v="71"/>
    <n v="0"/>
    <n v="2224.88"/>
    <n v="185.74"/>
    <m/>
    <n v="2694.5005966409608"/>
    <n v="166.7634981586946"/>
    <n v="0"/>
    <n v="1608.58824"/>
    <n v="134.29002"/>
    <n v="0"/>
    <n v="1948.1239313714145"/>
    <n v="120.57000916873619"/>
  </r>
  <r>
    <s v="Regular"/>
    <x v="0"/>
    <x v="1"/>
    <x v="1"/>
    <x v="0"/>
    <x v="0"/>
    <x v="0"/>
    <x v="1"/>
    <x v="8"/>
    <n v="0"/>
    <n v="0"/>
    <n v="2.0659999999999998"/>
    <n v="2.0659999999999998"/>
    <n v="2.0659999999999998"/>
    <n v="2.0659999999999998"/>
    <n v="0"/>
    <x v="0"/>
    <n v="0"/>
    <n v="0"/>
    <n v="14"/>
    <n v="71"/>
    <n v="0"/>
    <n v="2224.88"/>
    <n v="185.74"/>
    <m/>
    <n v="2694.5005966409608"/>
    <n v="166.7634981586946"/>
    <n v="0"/>
    <n v="4596.6020799999997"/>
    <n v="383.73883999999998"/>
    <n v="0"/>
    <n v="5566.838232660225"/>
    <n v="344.53338719586304"/>
  </r>
  <r>
    <s v="Regular"/>
    <x v="0"/>
    <x v="1"/>
    <x v="1"/>
    <x v="0"/>
    <x v="0"/>
    <x v="0"/>
    <x v="1"/>
    <x v="9"/>
    <n v="0"/>
    <n v="0"/>
    <n v="0.219"/>
    <n v="0.219"/>
    <n v="0.219"/>
    <n v="0.219"/>
    <n v="0"/>
    <x v="0"/>
    <n v="0"/>
    <n v="0"/>
    <n v="14"/>
    <n v="71"/>
    <n v="0"/>
    <n v="2224.88"/>
    <n v="185.74"/>
    <m/>
    <n v="2694.5005966409608"/>
    <n v="166.7634981586946"/>
    <n v="0"/>
    <n v="487.24872000000005"/>
    <n v="40.677060000000004"/>
    <n v="0"/>
    <n v="590.09563066437045"/>
    <n v="36.521206096754121"/>
  </r>
  <r>
    <s v="Regular"/>
    <x v="0"/>
    <x v="1"/>
    <x v="1"/>
    <x v="0"/>
    <x v="0"/>
    <x v="0"/>
    <x v="1"/>
    <x v="10"/>
    <n v="0"/>
    <n v="0"/>
    <n v="1.641"/>
    <n v="1.641"/>
    <n v="1.641"/>
    <n v="1.641"/>
    <n v="0"/>
    <x v="0"/>
    <n v="0"/>
    <n v="0"/>
    <n v="14"/>
    <n v="71"/>
    <n v="0"/>
    <n v="2224.88"/>
    <n v="185.74"/>
    <m/>
    <n v="2694.5005966409608"/>
    <n v="166.7634981586946"/>
    <n v="0"/>
    <n v="3651.02808"/>
    <n v="304.79934000000003"/>
    <n v="0"/>
    <n v="4421.6754790878167"/>
    <n v="273.65890047841782"/>
  </r>
  <r>
    <s v="Regular"/>
    <x v="0"/>
    <x v="1"/>
    <x v="1"/>
    <x v="0"/>
    <x v="0"/>
    <x v="0"/>
    <x v="1"/>
    <x v="11"/>
    <n v="0"/>
    <n v="0"/>
    <n v="1.976"/>
    <n v="1.976"/>
    <n v="1.976"/>
    <n v="1.976"/>
    <n v="0"/>
    <x v="0"/>
    <n v="0"/>
    <n v="0"/>
    <n v="14"/>
    <n v="71"/>
    <n v="0"/>
    <n v="2224.88"/>
    <n v="185.74"/>
    <m/>
    <n v="2694.5005966409608"/>
    <n v="166.7634981586946"/>
    <n v="0"/>
    <n v="4396.3628800000006"/>
    <n v="367.02224000000001"/>
    <n v="0"/>
    <n v="5324.3331789625381"/>
    <n v="329.52467236158054"/>
  </r>
  <r>
    <s v="Regular"/>
    <x v="1"/>
    <x v="2"/>
    <x v="2"/>
    <x v="1"/>
    <x v="0"/>
    <x v="0"/>
    <x v="0"/>
    <x v="0"/>
    <n v="0"/>
    <n v="0"/>
    <n v="0.15"/>
    <n v="0.15"/>
    <n v="0.15"/>
    <n v="0.15"/>
    <n v="0"/>
    <x v="0"/>
    <n v="0"/>
    <n v="0"/>
    <n v="30"/>
    <n v="75"/>
    <n v="0"/>
    <n v="286.89999999999998"/>
    <n v="185.74"/>
    <m/>
    <n v="358.23296678119254"/>
    <n v="166.7634981586946"/>
    <n v="0"/>
    <n v="43.034999999999997"/>
    <n v="27.861000000000001"/>
    <n v="0"/>
    <n v="53.73494501717888"/>
    <n v="25.01452472380419"/>
  </r>
  <r>
    <s v="Regular"/>
    <x v="1"/>
    <x v="2"/>
    <x v="2"/>
    <x v="1"/>
    <x v="0"/>
    <x v="0"/>
    <x v="0"/>
    <x v="1"/>
    <n v="0"/>
    <n v="0"/>
    <n v="0.76800000000000002"/>
    <n v="0.76800000000000002"/>
    <n v="0.76800000000000002"/>
    <n v="0.76800000000000002"/>
    <n v="0"/>
    <x v="0"/>
    <n v="0"/>
    <n v="0"/>
    <n v="30"/>
    <n v="75"/>
    <n v="0"/>
    <n v="286.89999999999998"/>
    <n v="185.74"/>
    <m/>
    <n v="358.23296678119254"/>
    <n v="166.7634981586946"/>
    <n v="0"/>
    <n v="220.33919999999998"/>
    <n v="142.64832000000001"/>
    <n v="0"/>
    <n v="275.12291848795587"/>
    <n v="128.07436658587747"/>
  </r>
  <r>
    <s v="Regular"/>
    <x v="1"/>
    <x v="2"/>
    <x v="2"/>
    <x v="1"/>
    <x v="0"/>
    <x v="0"/>
    <x v="0"/>
    <x v="2"/>
    <n v="0"/>
    <n v="0"/>
    <n v="0.51400000000000001"/>
    <n v="0.51400000000000001"/>
    <n v="0.51400000000000001"/>
    <n v="0.51400000000000001"/>
    <n v="0"/>
    <x v="0"/>
    <n v="0"/>
    <n v="0"/>
    <n v="30"/>
    <n v="75"/>
    <n v="0"/>
    <n v="286.89999999999998"/>
    <n v="185.74"/>
    <m/>
    <n v="358.23296678119254"/>
    <n v="166.7634981586946"/>
    <n v="0"/>
    <n v="147.4666"/>
    <n v="95.470360000000014"/>
    <n v="0"/>
    <n v="184.13174492553298"/>
    <n v="85.716438053569021"/>
  </r>
  <r>
    <s v="Regular"/>
    <x v="1"/>
    <x v="2"/>
    <x v="2"/>
    <x v="1"/>
    <x v="0"/>
    <x v="0"/>
    <x v="0"/>
    <x v="3"/>
    <n v="0"/>
    <n v="0"/>
    <n v="0.625"/>
    <n v="0.625"/>
    <n v="0.625"/>
    <n v="0.625"/>
    <n v="0"/>
    <x v="0"/>
    <n v="0"/>
    <n v="0"/>
    <n v="30"/>
    <n v="75"/>
    <n v="0"/>
    <n v="286.89999999999998"/>
    <n v="185.74"/>
    <m/>
    <n v="358.23296678119254"/>
    <n v="166.7634981586946"/>
    <n v="0"/>
    <n v="179.3125"/>
    <n v="116.08750000000001"/>
    <n v="0"/>
    <n v="223.89560423824534"/>
    <n v="104.22718634918412"/>
  </r>
  <r>
    <s v="Regular"/>
    <x v="1"/>
    <x v="2"/>
    <x v="2"/>
    <x v="1"/>
    <x v="0"/>
    <x v="0"/>
    <x v="0"/>
    <x v="4"/>
    <n v="0"/>
    <n v="0"/>
    <n v="1.395"/>
    <n v="1.395"/>
    <n v="1.395"/>
    <n v="1.395"/>
    <n v="0"/>
    <x v="0"/>
    <n v="0"/>
    <n v="0"/>
    <n v="30"/>
    <n v="75"/>
    <n v="0"/>
    <n v="286.89999999999998"/>
    <n v="185.74"/>
    <m/>
    <n v="358.23296678119254"/>
    <n v="166.7634981586946"/>
    <n v="0"/>
    <n v="400.22549999999995"/>
    <n v="259.10730000000001"/>
    <n v="0"/>
    <n v="499.73498865976359"/>
    <n v="232.63507993137898"/>
  </r>
  <r>
    <s v="Regular"/>
    <x v="1"/>
    <x v="2"/>
    <x v="2"/>
    <x v="1"/>
    <x v="0"/>
    <x v="0"/>
    <x v="0"/>
    <x v="5"/>
    <n v="0"/>
    <n v="0"/>
    <n v="0.75900000000000001"/>
    <n v="0.75900000000000001"/>
    <n v="0.75900000000000001"/>
    <n v="0.75900000000000001"/>
    <n v="0"/>
    <x v="0"/>
    <n v="0"/>
    <n v="0"/>
    <n v="30"/>
    <n v="75"/>
    <n v="0"/>
    <n v="286.89999999999998"/>
    <n v="185.74"/>
    <m/>
    <n v="358.23296678119254"/>
    <n v="166.7634981586946"/>
    <n v="0"/>
    <n v="217.75709999999998"/>
    <n v="140.97666000000001"/>
    <n v="0"/>
    <n v="271.89882178692517"/>
    <n v="126.5734951024492"/>
  </r>
  <r>
    <s v="Regular"/>
    <x v="1"/>
    <x v="2"/>
    <x v="2"/>
    <x v="1"/>
    <x v="0"/>
    <x v="0"/>
    <x v="0"/>
    <x v="6"/>
    <n v="0"/>
    <n v="0"/>
    <n v="0.64500000000000002"/>
    <n v="0.64500000000000002"/>
    <n v="0.64500000000000002"/>
    <n v="0.64500000000000002"/>
    <n v="0"/>
    <x v="0"/>
    <n v="0"/>
    <n v="0"/>
    <n v="30"/>
    <n v="75"/>
    <n v="0"/>
    <n v="286.89999999999998"/>
    <n v="185.74"/>
    <m/>
    <n v="358.23296678119254"/>
    <n v="166.7634981586946"/>
    <n v="0"/>
    <n v="185.0505"/>
    <n v="119.8023"/>
    <n v="0"/>
    <n v="231.06026357386921"/>
    <n v="107.56245631235802"/>
  </r>
  <r>
    <s v="Regular"/>
    <x v="1"/>
    <x v="2"/>
    <x v="2"/>
    <x v="1"/>
    <x v="0"/>
    <x v="0"/>
    <x v="0"/>
    <x v="7"/>
    <n v="0"/>
    <n v="0"/>
    <n v="0.85399999999999998"/>
    <n v="0.85399999999999998"/>
    <n v="0.85399999999999998"/>
    <n v="0.85399999999999998"/>
    <n v="0"/>
    <x v="0"/>
    <n v="0"/>
    <n v="0"/>
    <n v="30"/>
    <n v="75"/>
    <n v="0"/>
    <n v="286.89999999999998"/>
    <n v="185.74"/>
    <m/>
    <n v="358.23296678119254"/>
    <n v="166.7634981586946"/>
    <n v="0"/>
    <n v="245.01259999999996"/>
    <n v="158.62196"/>
    <n v="0"/>
    <n v="305.93095363113844"/>
    <n v="142.41602742752519"/>
  </r>
  <r>
    <s v="Regular"/>
    <x v="1"/>
    <x v="2"/>
    <x v="2"/>
    <x v="1"/>
    <x v="0"/>
    <x v="0"/>
    <x v="0"/>
    <x v="8"/>
    <n v="0"/>
    <n v="0"/>
    <n v="0.95899999999999996"/>
    <n v="0.95899999999999996"/>
    <n v="0.95899999999999996"/>
    <n v="0.95899999999999996"/>
    <n v="0"/>
    <x v="0"/>
    <n v="0"/>
    <n v="0"/>
    <n v="30"/>
    <n v="75"/>
    <n v="0"/>
    <n v="286.89999999999998"/>
    <n v="185.74"/>
    <m/>
    <n v="358.23296678119254"/>
    <n v="166.7634981586946"/>
    <n v="0"/>
    <n v="275.13709999999998"/>
    <n v="178.12466000000001"/>
    <n v="0"/>
    <n v="343.54541514316361"/>
    <n v="159.92619473418813"/>
  </r>
  <r>
    <s v="Regular"/>
    <x v="1"/>
    <x v="2"/>
    <x v="2"/>
    <x v="1"/>
    <x v="0"/>
    <x v="0"/>
    <x v="0"/>
    <x v="9"/>
    <n v="0"/>
    <n v="0"/>
    <n v="0.72699999999999998"/>
    <n v="0.72699999999999998"/>
    <n v="0.72699999999999998"/>
    <n v="0.72699999999999998"/>
    <n v="0"/>
    <x v="0"/>
    <n v="0"/>
    <n v="0"/>
    <n v="30"/>
    <n v="75"/>
    <n v="0"/>
    <n v="286.89999999999998"/>
    <n v="185.74"/>
    <m/>
    <n v="358.23296678119254"/>
    <n v="166.7634981586946"/>
    <n v="0"/>
    <n v="208.57629999999997"/>
    <n v="135.03298000000001"/>
    <n v="0"/>
    <n v="260.43536684992699"/>
    <n v="121.23706316137097"/>
  </r>
  <r>
    <s v="Regular"/>
    <x v="1"/>
    <x v="2"/>
    <x v="2"/>
    <x v="1"/>
    <x v="0"/>
    <x v="0"/>
    <x v="0"/>
    <x v="10"/>
    <n v="0"/>
    <n v="0"/>
    <n v="0.58499999999999996"/>
    <n v="0.58499999999999996"/>
    <n v="0.58499999999999996"/>
    <n v="0.58499999999999996"/>
    <n v="0"/>
    <x v="0"/>
    <n v="0"/>
    <n v="0"/>
    <n v="30"/>
    <n v="75"/>
    <n v="0"/>
    <n v="286.89999999999998"/>
    <n v="185.74"/>
    <m/>
    <n v="358.23296678119254"/>
    <n v="166.7634981586946"/>
    <n v="0"/>
    <n v="167.83649999999997"/>
    <n v="108.6579"/>
    <n v="0"/>
    <n v="209.56628556699764"/>
    <n v="97.556646422836337"/>
  </r>
  <r>
    <s v="Regular"/>
    <x v="1"/>
    <x v="2"/>
    <x v="2"/>
    <x v="1"/>
    <x v="0"/>
    <x v="0"/>
    <x v="0"/>
    <x v="11"/>
    <n v="0"/>
    <n v="0"/>
    <n v="0.68"/>
    <n v="0.68"/>
    <n v="0.68"/>
    <n v="0.68"/>
    <n v="0"/>
    <x v="0"/>
    <n v="0"/>
    <n v="0"/>
    <n v="30"/>
    <n v="75"/>
    <n v="0"/>
    <n v="286.89999999999998"/>
    <n v="185.74"/>
    <m/>
    <n v="358.23296678119254"/>
    <n v="166.7634981586946"/>
    <n v="0"/>
    <n v="195.09199999999998"/>
    <n v="126.30320000000002"/>
    <n v="0"/>
    <n v="243.59841741121096"/>
    <n v="113.39917874791234"/>
  </r>
  <r>
    <s v="Regular"/>
    <x v="1"/>
    <x v="2"/>
    <x v="2"/>
    <x v="1"/>
    <x v="0"/>
    <x v="0"/>
    <x v="3"/>
    <x v="1"/>
    <n v="0"/>
    <n v="0"/>
    <n v="0.04"/>
    <n v="0.04"/>
    <n v="0.04"/>
    <n v="0.04"/>
    <n v="0"/>
    <x v="0"/>
    <n v="0"/>
    <n v="0"/>
    <n v="28"/>
    <n v="74"/>
    <n v="0"/>
    <n v="653.51"/>
    <n v="185.74"/>
    <m/>
    <n v="796.65281309381453"/>
    <n v="166.7634981586946"/>
    <n v="0"/>
    <n v="26.1404"/>
    <n v="7.4296000000000006"/>
    <n v="0"/>
    <n v="31.86611252375258"/>
    <n v="6.670539926347784"/>
  </r>
  <r>
    <s v="Regular"/>
    <x v="1"/>
    <x v="2"/>
    <x v="2"/>
    <x v="1"/>
    <x v="0"/>
    <x v="0"/>
    <x v="3"/>
    <x v="2"/>
    <n v="0"/>
    <n v="0"/>
    <n v="2.7E-2"/>
    <n v="2.7E-2"/>
    <n v="2.7E-2"/>
    <n v="2.7E-2"/>
    <n v="0"/>
    <x v="0"/>
    <n v="0"/>
    <n v="0"/>
    <n v="28"/>
    <n v="74"/>
    <n v="0"/>
    <n v="653.51"/>
    <n v="185.74"/>
    <m/>
    <n v="796.65281309381453"/>
    <n v="166.7634981586946"/>
    <n v="0"/>
    <n v="17.644770000000001"/>
    <n v="5.0149800000000004"/>
    <n v="0"/>
    <n v="21.509625953532993"/>
    <n v="4.5026144502847538"/>
  </r>
  <r>
    <s v="Regular"/>
    <x v="1"/>
    <x v="2"/>
    <x v="2"/>
    <x v="1"/>
    <x v="0"/>
    <x v="0"/>
    <x v="3"/>
    <x v="3"/>
    <n v="0"/>
    <n v="0"/>
    <n v="3.5000000000000003E-2"/>
    <n v="3.5000000000000003E-2"/>
    <n v="3.5000000000000003E-2"/>
    <n v="3.5000000000000003E-2"/>
    <n v="0"/>
    <x v="0"/>
    <n v="0"/>
    <n v="0"/>
    <n v="28"/>
    <n v="74"/>
    <n v="0"/>
    <n v="653.51"/>
    <n v="185.74"/>
    <m/>
    <n v="796.65281309381453"/>
    <n v="166.7634981586946"/>
    <n v="0"/>
    <n v="22.872850000000003"/>
    <n v="6.5009000000000006"/>
    <n v="0"/>
    <n v="27.882848458283512"/>
    <n v="5.8367224355543117"/>
  </r>
  <r>
    <s v="Regular"/>
    <x v="1"/>
    <x v="2"/>
    <x v="2"/>
    <x v="1"/>
    <x v="0"/>
    <x v="0"/>
    <x v="3"/>
    <x v="4"/>
    <n v="0"/>
    <n v="0"/>
    <n v="5.0999999999999997E-2"/>
    <n v="5.0999999999999997E-2"/>
    <n v="5.0999999999999997E-2"/>
    <n v="5.0999999999999997E-2"/>
    <n v="0"/>
    <x v="0"/>
    <n v="0"/>
    <n v="0"/>
    <n v="28"/>
    <n v="74"/>
    <n v="0"/>
    <n v="653.51"/>
    <n v="185.74"/>
    <m/>
    <n v="796.65281309381453"/>
    <n v="166.7634981586946"/>
    <n v="0"/>
    <n v="33.329009999999997"/>
    <n v="9.4727399999999999"/>
    <n v="0"/>
    <n v="40.629293467784535"/>
    <n v="8.5049384060934248"/>
  </r>
  <r>
    <s v="Regular"/>
    <x v="1"/>
    <x v="2"/>
    <x v="2"/>
    <x v="1"/>
    <x v="0"/>
    <x v="0"/>
    <x v="3"/>
    <x v="5"/>
    <n v="0"/>
    <n v="0"/>
    <n v="1.2999999999999999E-2"/>
    <n v="1.2999999999999999E-2"/>
    <n v="1.2999999999999999E-2"/>
    <n v="1.2999999999999999E-2"/>
    <n v="0"/>
    <x v="0"/>
    <n v="0"/>
    <n v="0"/>
    <n v="28"/>
    <n v="74"/>
    <n v="0"/>
    <n v="653.51"/>
    <n v="185.74"/>
    <m/>
    <n v="796.65281309381453"/>
    <n v="166.7634981586946"/>
    <n v="0"/>
    <n v="8.4956300000000002"/>
    <n v="2.4146200000000002"/>
    <n v="0"/>
    <n v="10.356486570219589"/>
    <n v="2.1679254760630298"/>
  </r>
  <r>
    <s v="Regular"/>
    <x v="1"/>
    <x v="2"/>
    <x v="2"/>
    <x v="1"/>
    <x v="0"/>
    <x v="0"/>
    <x v="3"/>
    <x v="7"/>
    <n v="0"/>
    <n v="0"/>
    <n v="2.5999999999999999E-2"/>
    <n v="2.5999999999999999E-2"/>
    <n v="2.5999999999999999E-2"/>
    <n v="2.5999999999999999E-2"/>
    <n v="0"/>
    <x v="0"/>
    <n v="0"/>
    <n v="0"/>
    <n v="28"/>
    <n v="74"/>
    <n v="0"/>
    <n v="653.51"/>
    <n v="185.74"/>
    <m/>
    <n v="796.65281309381453"/>
    <n v="166.7634981586946"/>
    <n v="0"/>
    <n v="16.99126"/>
    <n v="4.8292400000000004"/>
    <n v="0"/>
    <n v="20.712973140439178"/>
    <n v="4.3358509521260595"/>
  </r>
  <r>
    <s v="Regular"/>
    <x v="1"/>
    <x v="2"/>
    <x v="2"/>
    <x v="1"/>
    <x v="0"/>
    <x v="0"/>
    <x v="3"/>
    <x v="8"/>
    <n v="0"/>
    <n v="0"/>
    <n v="3.5999999999999997E-2"/>
    <n v="3.5999999999999997E-2"/>
    <n v="3.5999999999999997E-2"/>
    <n v="3.5999999999999997E-2"/>
    <n v="0"/>
    <x v="0"/>
    <n v="0"/>
    <n v="0"/>
    <n v="28"/>
    <n v="74"/>
    <n v="0"/>
    <n v="653.51"/>
    <n v="185.74"/>
    <m/>
    <n v="796.65281309381453"/>
    <n v="166.7634981586946"/>
    <n v="0"/>
    <n v="23.526359999999997"/>
    <n v="6.6866399999999997"/>
    <n v="0"/>
    <n v="28.679501271377323"/>
    <n v="6.0034859337130051"/>
  </r>
  <r>
    <s v="Regular"/>
    <x v="1"/>
    <x v="2"/>
    <x v="2"/>
    <x v="1"/>
    <x v="0"/>
    <x v="0"/>
    <x v="3"/>
    <x v="9"/>
    <n v="0"/>
    <n v="0"/>
    <n v="4.8000000000000001E-2"/>
    <n v="4.8000000000000001E-2"/>
    <n v="4.8000000000000001E-2"/>
    <n v="4.8000000000000001E-2"/>
    <n v="0"/>
    <x v="0"/>
    <n v="0"/>
    <n v="0"/>
    <n v="28"/>
    <n v="74"/>
    <n v="0"/>
    <n v="653.51"/>
    <n v="185.74"/>
    <m/>
    <n v="796.65281309381453"/>
    <n v="166.7634981586946"/>
    <n v="0"/>
    <n v="31.368480000000002"/>
    <n v="8.9155200000000008"/>
    <n v="0"/>
    <n v="38.239335028503099"/>
    <n v="8.0046479116173419"/>
  </r>
  <r>
    <s v="Regular"/>
    <x v="1"/>
    <x v="2"/>
    <x v="2"/>
    <x v="1"/>
    <x v="0"/>
    <x v="0"/>
    <x v="3"/>
    <x v="10"/>
    <n v="0"/>
    <n v="0"/>
    <n v="3.5999999999999997E-2"/>
    <n v="3.5999999999999997E-2"/>
    <n v="3.5999999999999997E-2"/>
    <n v="3.5999999999999997E-2"/>
    <n v="0"/>
    <x v="0"/>
    <n v="0"/>
    <n v="0"/>
    <n v="28"/>
    <n v="74"/>
    <n v="0"/>
    <n v="653.51"/>
    <n v="185.74"/>
    <m/>
    <n v="796.65281309381453"/>
    <n v="166.7634981586946"/>
    <n v="0"/>
    <n v="23.526359999999997"/>
    <n v="6.6866399999999997"/>
    <n v="0"/>
    <n v="28.679501271377323"/>
    <n v="6.0034859337130051"/>
  </r>
  <r>
    <s v="Regular"/>
    <x v="1"/>
    <x v="2"/>
    <x v="2"/>
    <x v="1"/>
    <x v="0"/>
    <x v="0"/>
    <x v="3"/>
    <x v="11"/>
    <n v="0"/>
    <n v="0"/>
    <n v="2.8000000000000001E-2"/>
    <n v="2.8000000000000001E-2"/>
    <n v="2.8000000000000001E-2"/>
    <n v="2.8000000000000001E-2"/>
    <n v="0"/>
    <x v="0"/>
    <n v="0"/>
    <n v="0"/>
    <n v="28"/>
    <n v="74"/>
    <n v="0"/>
    <n v="653.51"/>
    <n v="185.74"/>
    <m/>
    <n v="796.65281309381453"/>
    <n v="166.7634981586946"/>
    <n v="0"/>
    <n v="18.298280000000002"/>
    <n v="5.2007200000000005"/>
    <n v="0"/>
    <n v="22.306278766626807"/>
    <n v="4.669377948443449"/>
  </r>
  <r>
    <s v="Regular"/>
    <x v="1"/>
    <x v="2"/>
    <x v="2"/>
    <x v="1"/>
    <x v="0"/>
    <x v="0"/>
    <x v="1"/>
    <x v="1"/>
    <n v="0"/>
    <n v="0"/>
    <n v="6.6000000000000003E-2"/>
    <n v="6.6000000000000003E-2"/>
    <n v="6.6000000000000003E-2"/>
    <n v="6.6000000000000003E-2"/>
    <n v="0"/>
    <x v="0"/>
    <n v="0"/>
    <n v="0"/>
    <n v="26"/>
    <n v="73"/>
    <n v="0"/>
    <n v="1020.18"/>
    <n v="185.74"/>
    <m/>
    <n v="1235.1474997679331"/>
    <n v="166.7634981586946"/>
    <n v="0"/>
    <n v="67.331879999999998"/>
    <n v="12.258840000000001"/>
    <n v="0"/>
    <n v="81.519734984683595"/>
    <n v="11.006390878473844"/>
  </r>
  <r>
    <s v="Regular"/>
    <x v="1"/>
    <x v="2"/>
    <x v="2"/>
    <x v="1"/>
    <x v="0"/>
    <x v="0"/>
    <x v="1"/>
    <x v="2"/>
    <n v="0"/>
    <n v="0"/>
    <n v="3.3000000000000002E-2"/>
    <n v="3.3000000000000002E-2"/>
    <n v="3.3000000000000002E-2"/>
    <n v="3.3000000000000002E-2"/>
    <n v="0"/>
    <x v="0"/>
    <n v="0"/>
    <n v="0"/>
    <n v="26"/>
    <n v="73"/>
    <n v="0"/>
    <n v="1020.18"/>
    <n v="185.74"/>
    <m/>
    <n v="1235.1474997679331"/>
    <n v="166.7634981586946"/>
    <n v="0"/>
    <n v="33.665939999999999"/>
    <n v="6.1294200000000005"/>
    <n v="0"/>
    <n v="40.759867492341797"/>
    <n v="5.5031954392369222"/>
  </r>
  <r>
    <s v="Regular"/>
    <x v="1"/>
    <x v="2"/>
    <x v="2"/>
    <x v="1"/>
    <x v="0"/>
    <x v="0"/>
    <x v="1"/>
    <x v="3"/>
    <n v="0"/>
    <n v="0"/>
    <n v="4.5999999999999999E-2"/>
    <n v="4.5999999999999999E-2"/>
    <n v="4.5999999999999999E-2"/>
    <n v="4.5999999999999999E-2"/>
    <n v="0"/>
    <x v="0"/>
    <n v="0"/>
    <n v="0"/>
    <n v="26"/>
    <n v="73"/>
    <n v="0"/>
    <n v="1020.18"/>
    <n v="185.74"/>
    <m/>
    <n v="1235.1474997679331"/>
    <n v="166.7634981586946"/>
    <n v="0"/>
    <n v="46.928279999999994"/>
    <n v="8.5440400000000007"/>
    <n v="0"/>
    <n v="56.816784989324923"/>
    <n v="7.6711209152999515"/>
  </r>
  <r>
    <s v="Regular"/>
    <x v="1"/>
    <x v="2"/>
    <x v="2"/>
    <x v="1"/>
    <x v="0"/>
    <x v="0"/>
    <x v="1"/>
    <x v="4"/>
    <n v="0"/>
    <n v="0"/>
    <n v="6.8000000000000005E-2"/>
    <n v="6.8000000000000005E-2"/>
    <n v="6.8000000000000005E-2"/>
    <n v="6.8000000000000005E-2"/>
    <n v="0"/>
    <x v="0"/>
    <n v="0"/>
    <n v="0"/>
    <n v="26"/>
    <n v="73"/>
    <n v="0"/>
    <n v="1020.18"/>
    <n v="185.74"/>
    <m/>
    <n v="1235.1474997679331"/>
    <n v="166.7634981586946"/>
    <n v="0"/>
    <n v="69.372240000000005"/>
    <n v="12.630320000000001"/>
    <n v="0"/>
    <n v="83.990029984219461"/>
    <n v="11.339917874791233"/>
  </r>
  <r>
    <s v="Regular"/>
    <x v="1"/>
    <x v="2"/>
    <x v="2"/>
    <x v="1"/>
    <x v="0"/>
    <x v="0"/>
    <x v="1"/>
    <x v="5"/>
    <n v="0"/>
    <n v="0"/>
    <n v="3.4000000000000002E-2"/>
    <n v="3.4000000000000002E-2"/>
    <n v="3.4000000000000002E-2"/>
    <n v="3.4000000000000002E-2"/>
    <n v="0"/>
    <x v="0"/>
    <n v="0"/>
    <n v="0"/>
    <n v="26"/>
    <n v="73"/>
    <n v="0"/>
    <n v="1020.18"/>
    <n v="185.74"/>
    <m/>
    <n v="1235.1474997679331"/>
    <n v="166.7634981586946"/>
    <n v="0"/>
    <n v="34.686120000000003"/>
    <n v="6.3151600000000006"/>
    <n v="0"/>
    <n v="41.995014992109731"/>
    <n v="5.6699589373956165"/>
  </r>
  <r>
    <s v="Regular"/>
    <x v="1"/>
    <x v="2"/>
    <x v="2"/>
    <x v="1"/>
    <x v="0"/>
    <x v="0"/>
    <x v="1"/>
    <x v="6"/>
    <n v="0"/>
    <n v="0"/>
    <n v="1.7999999999999999E-2"/>
    <n v="1.7999999999999999E-2"/>
    <n v="1.7999999999999999E-2"/>
    <n v="1.7999999999999999E-2"/>
    <n v="0"/>
    <x v="0"/>
    <n v="0"/>
    <n v="0"/>
    <n v="26"/>
    <n v="73"/>
    <n v="0"/>
    <n v="1020.18"/>
    <n v="185.74"/>
    <m/>
    <n v="1235.1474997679331"/>
    <n v="166.7634981586946"/>
    <n v="0"/>
    <n v="18.363239999999998"/>
    <n v="3.3433199999999998"/>
    <n v="0"/>
    <n v="22.232654995822795"/>
    <n v="3.0017429668565025"/>
  </r>
  <r>
    <s v="Regular"/>
    <x v="1"/>
    <x v="2"/>
    <x v="2"/>
    <x v="1"/>
    <x v="0"/>
    <x v="0"/>
    <x v="1"/>
    <x v="7"/>
    <n v="0"/>
    <n v="0"/>
    <n v="6.5000000000000002E-2"/>
    <n v="6.5000000000000002E-2"/>
    <n v="6.5000000000000002E-2"/>
    <n v="6.5000000000000002E-2"/>
    <n v="0"/>
    <x v="0"/>
    <n v="0"/>
    <n v="0"/>
    <n v="26"/>
    <n v="73"/>
    <n v="0"/>
    <n v="1020.18"/>
    <n v="185.74"/>
    <m/>
    <n v="1235.1474997679331"/>
    <n v="166.7634981586946"/>
    <n v="0"/>
    <n v="66.311700000000002"/>
    <n v="12.0731"/>
    <n v="0"/>
    <n v="80.284587484915662"/>
    <n v="10.83962738031515"/>
  </r>
  <r>
    <s v="Regular"/>
    <x v="1"/>
    <x v="2"/>
    <x v="2"/>
    <x v="1"/>
    <x v="0"/>
    <x v="0"/>
    <x v="1"/>
    <x v="8"/>
    <n v="0"/>
    <n v="0"/>
    <n v="9.6000000000000002E-2"/>
    <n v="9.6000000000000002E-2"/>
    <n v="9.6000000000000002E-2"/>
    <n v="9.6000000000000002E-2"/>
    <n v="0"/>
    <x v="0"/>
    <n v="0"/>
    <n v="0"/>
    <n v="26"/>
    <n v="73"/>
    <n v="0"/>
    <n v="1020.18"/>
    <n v="185.74"/>
    <m/>
    <n v="1235.1474997679331"/>
    <n v="166.7634981586946"/>
    <n v="0"/>
    <n v="97.937280000000001"/>
    <n v="17.831040000000002"/>
    <n v="0"/>
    <n v="118.57415997772158"/>
    <n v="16.009295823234684"/>
  </r>
  <r>
    <s v="Regular"/>
    <x v="1"/>
    <x v="2"/>
    <x v="2"/>
    <x v="1"/>
    <x v="0"/>
    <x v="0"/>
    <x v="1"/>
    <x v="9"/>
    <n v="0"/>
    <n v="0"/>
    <n v="8.4000000000000005E-2"/>
    <n v="8.4000000000000005E-2"/>
    <n v="8.4000000000000005E-2"/>
    <n v="8.4000000000000005E-2"/>
    <n v="0"/>
    <x v="0"/>
    <n v="0"/>
    <n v="0"/>
    <n v="26"/>
    <n v="73"/>
    <n v="0"/>
    <n v="1020.18"/>
    <n v="185.74"/>
    <m/>
    <n v="1235.1474997679331"/>
    <n v="166.7634981586946"/>
    <n v="0"/>
    <n v="85.695120000000003"/>
    <n v="15.602160000000001"/>
    <n v="0"/>
    <n v="103.75238998050639"/>
    <n v="14.008133845330347"/>
  </r>
  <r>
    <s v="Regular"/>
    <x v="1"/>
    <x v="2"/>
    <x v="2"/>
    <x v="1"/>
    <x v="0"/>
    <x v="0"/>
    <x v="1"/>
    <x v="10"/>
    <n v="0"/>
    <n v="0"/>
    <n v="8.4000000000000005E-2"/>
    <n v="8.4000000000000005E-2"/>
    <n v="8.4000000000000005E-2"/>
    <n v="8.4000000000000005E-2"/>
    <n v="0"/>
    <x v="0"/>
    <n v="0"/>
    <n v="0"/>
    <n v="26"/>
    <n v="73"/>
    <n v="0"/>
    <n v="1020.18"/>
    <n v="185.74"/>
    <m/>
    <n v="1235.1474997679331"/>
    <n v="166.7634981586946"/>
    <n v="0"/>
    <n v="85.695120000000003"/>
    <n v="15.602160000000001"/>
    <n v="0"/>
    <n v="103.75238998050639"/>
    <n v="14.008133845330347"/>
  </r>
  <r>
    <s v="Regular"/>
    <x v="1"/>
    <x v="2"/>
    <x v="2"/>
    <x v="1"/>
    <x v="0"/>
    <x v="0"/>
    <x v="1"/>
    <x v="11"/>
    <n v="0"/>
    <n v="0"/>
    <n v="7.3999999999999996E-2"/>
    <n v="7.3999999999999996E-2"/>
    <n v="7.3999999999999996E-2"/>
    <n v="7.3999999999999996E-2"/>
    <n v="0"/>
    <x v="0"/>
    <n v="0"/>
    <n v="0"/>
    <n v="26"/>
    <n v="73"/>
    <n v="0"/>
    <n v="1020.18"/>
    <n v="185.74"/>
    <m/>
    <n v="1235.1474997679331"/>
    <n v="166.7634981586946"/>
    <n v="0"/>
    <n v="75.493319999999997"/>
    <n v="13.744759999999999"/>
    <n v="0"/>
    <n v="91.400914982827047"/>
    <n v="12.340498863743401"/>
  </r>
  <r>
    <s v="Regular"/>
    <x v="1"/>
    <x v="3"/>
    <x v="2"/>
    <x v="1"/>
    <x v="0"/>
    <x v="0"/>
    <x v="2"/>
    <x v="0"/>
    <n v="0"/>
    <n v="0"/>
    <n v="1219.5219999999999"/>
    <n v="1219.5219999999999"/>
    <n v="1219.5219999999999"/>
    <n v="1219.5219999999999"/>
    <n v="7983"/>
    <x v="0"/>
    <n v="0"/>
    <n v="0"/>
    <n v="32"/>
    <n v="76"/>
    <n v="0"/>
    <n v="442.96"/>
    <n v="185.74"/>
    <m/>
    <n v="544.85419676676725"/>
    <n v="166.7634981586946"/>
    <n v="0"/>
    <n v="540199.46511999995"/>
    <n v="226514.01628000001"/>
    <n v="0"/>
    <n v="664461.67974940152"/>
    <n v="203371.75480148755"/>
  </r>
  <r>
    <s v="Refaturamento - Regular"/>
    <x v="1"/>
    <x v="3"/>
    <x v="2"/>
    <x v="1"/>
    <x v="0"/>
    <x v="0"/>
    <x v="2"/>
    <x v="0"/>
    <n v="0"/>
    <n v="0"/>
    <n v="-4.1749999999999998"/>
    <n v="-4.1749999999999998"/>
    <n v="-4.1749999999999998"/>
    <n v="-4.1749999999999998"/>
    <n v="0"/>
    <x v="0"/>
    <n v="0"/>
    <n v="0"/>
    <n v="32"/>
    <n v="76"/>
    <n v="0"/>
    <n v="442.96"/>
    <n v="185.74"/>
    <m/>
    <n v="544.85419676676725"/>
    <n v="166.7634981586946"/>
    <n v="0"/>
    <n v="-1849.3579999999999"/>
    <n v="-775.46450000000004"/>
    <n v="0"/>
    <n v="-2274.766271501253"/>
    <n v="-696.23760481254999"/>
  </r>
  <r>
    <s v="Sistema de Compensação"/>
    <x v="1"/>
    <x v="3"/>
    <x v="2"/>
    <x v="1"/>
    <x v="0"/>
    <x v="0"/>
    <x v="2"/>
    <x v="0"/>
    <n v="0"/>
    <n v="0"/>
    <n v="9.0389999999999997"/>
    <n v="9.0389999999999997"/>
    <n v="9.0389999999999997"/>
    <n v="9.0389999999999997"/>
    <n v="45"/>
    <x v="0"/>
    <n v="0"/>
    <n v="0"/>
    <n v="32"/>
    <n v="76"/>
    <n v="0"/>
    <n v="442.96"/>
    <n v="185.74"/>
    <m/>
    <n v="544.85419676676725"/>
    <n v="166.7634981586946"/>
    <n v="0"/>
    <n v="4003.9154399999998"/>
    <n v="1678.9038600000001"/>
    <n v="0"/>
    <n v="4924.937084574809"/>
    <n v="1507.3752598564404"/>
  </r>
  <r>
    <s v="Regular"/>
    <x v="1"/>
    <x v="3"/>
    <x v="2"/>
    <x v="1"/>
    <x v="0"/>
    <x v="0"/>
    <x v="2"/>
    <x v="1"/>
    <n v="0"/>
    <n v="0"/>
    <n v="1221.414"/>
    <n v="1221.414"/>
    <n v="1221.414"/>
    <n v="1221.414"/>
    <n v="8005"/>
    <x v="0"/>
    <n v="0"/>
    <n v="0"/>
    <n v="32"/>
    <n v="76"/>
    <n v="0"/>
    <n v="442.96"/>
    <n v="185.74"/>
    <m/>
    <n v="544.85419676676725"/>
    <n v="166.7634981586946"/>
    <n v="0"/>
    <n v="541037.54544000002"/>
    <n v="226865.43636000002"/>
    <n v="0"/>
    <n v="665492.54388968425"/>
    <n v="203687.27134000382"/>
  </r>
  <r>
    <s v="Refaturamento - Regular"/>
    <x v="1"/>
    <x v="3"/>
    <x v="2"/>
    <x v="1"/>
    <x v="0"/>
    <x v="0"/>
    <x v="2"/>
    <x v="1"/>
    <n v="0"/>
    <n v="0"/>
    <n v="-11.824999999999999"/>
    <n v="-11.824999999999999"/>
    <n v="-11.824999999999999"/>
    <n v="-11.824999999999999"/>
    <n v="0"/>
    <x v="0"/>
    <n v="0"/>
    <n v="0"/>
    <n v="32"/>
    <n v="76"/>
    <n v="0"/>
    <n v="442.96"/>
    <n v="185.74"/>
    <m/>
    <n v="544.85419676676725"/>
    <n v="166.7634981586946"/>
    <n v="0"/>
    <n v="-5238.0019999999995"/>
    <n v="-2196.3755000000001"/>
    <n v="0"/>
    <n v="-6442.9008767670221"/>
    <n v="-1971.9783657265637"/>
  </r>
  <r>
    <s v="Sistema de Compensação"/>
    <x v="1"/>
    <x v="3"/>
    <x v="2"/>
    <x v="1"/>
    <x v="0"/>
    <x v="0"/>
    <x v="2"/>
    <x v="1"/>
    <n v="0"/>
    <n v="0"/>
    <n v="10.726000000000001"/>
    <n v="10.726000000000001"/>
    <n v="10.726000000000001"/>
    <n v="10.726000000000001"/>
    <n v="48"/>
    <x v="0"/>
    <n v="0"/>
    <n v="0"/>
    <n v="32"/>
    <n v="76"/>
    <n v="0"/>
    <n v="442.96"/>
    <n v="185.74"/>
    <m/>
    <n v="544.85419676676725"/>
    <n v="166.7634981586946"/>
    <n v="0"/>
    <n v="4751.1889600000004"/>
    <n v="1992.2472400000001"/>
    <n v="0"/>
    <n v="5844.1061145203457"/>
    <n v="1788.7052812501584"/>
  </r>
  <r>
    <s v="Sistema de Compensação"/>
    <x v="1"/>
    <x v="3"/>
    <x v="2"/>
    <x v="1"/>
    <x v="0"/>
    <x v="0"/>
    <x v="2"/>
    <x v="1"/>
    <n v="0"/>
    <n v="0"/>
    <n v="-0.129"/>
    <n v="-0.129"/>
    <n v="-0.129"/>
    <n v="-0.129"/>
    <n v="2"/>
    <x v="0"/>
    <n v="0"/>
    <n v="0"/>
    <n v="32"/>
    <n v="76"/>
    <n v="0"/>
    <n v="442.96"/>
    <n v="185.74"/>
    <m/>
    <n v="544.85419676676725"/>
    <n v="166.7634981586946"/>
    <n v="0"/>
    <n v="-57.141840000000002"/>
    <n v="-23.960460000000001"/>
    <n v="0"/>
    <n v="-70.286191382912975"/>
    <n v="-21.512491262471606"/>
  </r>
  <r>
    <s v="Regular"/>
    <x v="1"/>
    <x v="3"/>
    <x v="2"/>
    <x v="1"/>
    <x v="0"/>
    <x v="0"/>
    <x v="2"/>
    <x v="2"/>
    <n v="0"/>
    <n v="0"/>
    <n v="1202.6389999999999"/>
    <n v="1202.6389999999999"/>
    <n v="1202.6389999999999"/>
    <n v="1202.6389999999999"/>
    <n v="8057"/>
    <x v="0"/>
    <n v="0"/>
    <n v="0"/>
    <n v="32"/>
    <n v="76"/>
    <n v="0"/>
    <n v="442.96"/>
    <n v="185.74"/>
    <m/>
    <n v="544.85419676676725"/>
    <n v="166.7634981586946"/>
    <n v="0"/>
    <n v="532720.97143999988"/>
    <n v="223378.16785999999"/>
    <n v="0"/>
    <n v="655262.90634538815"/>
    <n v="200556.2866620743"/>
  </r>
  <r>
    <s v="Refaturamento - Regular"/>
    <x v="1"/>
    <x v="3"/>
    <x v="2"/>
    <x v="1"/>
    <x v="0"/>
    <x v="0"/>
    <x v="2"/>
    <x v="2"/>
    <n v="0"/>
    <n v="0"/>
    <n v="-2.8410000000000002"/>
    <n v="-2.8410000000000002"/>
    <n v="-2.8410000000000002"/>
    <n v="-2.8410000000000002"/>
    <n v="0"/>
    <x v="0"/>
    <n v="0"/>
    <n v="0"/>
    <n v="32"/>
    <n v="76"/>
    <n v="0"/>
    <n v="442.96"/>
    <n v="185.74"/>
    <m/>
    <n v="544.85419676676725"/>
    <n v="166.7634981586946"/>
    <n v="0"/>
    <n v="-1258.4493600000001"/>
    <n v="-527.68734000000006"/>
    <n v="0"/>
    <n v="-1547.9307730143857"/>
    <n v="-473.77509826885142"/>
  </r>
  <r>
    <s v="Sistema de Compensação"/>
    <x v="1"/>
    <x v="3"/>
    <x v="2"/>
    <x v="1"/>
    <x v="0"/>
    <x v="0"/>
    <x v="2"/>
    <x v="2"/>
    <n v="0"/>
    <n v="0"/>
    <n v="8.9350000000000005"/>
    <n v="8.9350000000000005"/>
    <n v="8.9350000000000005"/>
    <n v="8.9350000000000005"/>
    <n v="51"/>
    <x v="0"/>
    <n v="0"/>
    <n v="0"/>
    <n v="32"/>
    <n v="76"/>
    <n v="0"/>
    <n v="442.96"/>
    <n v="185.74"/>
    <m/>
    <n v="544.85419676676725"/>
    <n v="166.7634981586946"/>
    <n v="0"/>
    <n v="3957.8476000000001"/>
    <n v="1659.5869000000002"/>
    <n v="0"/>
    <n v="4868.2722481110659"/>
    <n v="1490.0318560479363"/>
  </r>
  <r>
    <s v="Regular"/>
    <x v="1"/>
    <x v="3"/>
    <x v="2"/>
    <x v="1"/>
    <x v="0"/>
    <x v="0"/>
    <x v="2"/>
    <x v="3"/>
    <n v="0"/>
    <n v="0"/>
    <n v="1188.22"/>
    <n v="1188.22"/>
    <n v="1188.22"/>
    <n v="1188.22"/>
    <n v="8096"/>
    <x v="0"/>
    <n v="0"/>
    <n v="0"/>
    <n v="32"/>
    <n v="76"/>
    <n v="0"/>
    <n v="442.96"/>
    <n v="185.74"/>
    <m/>
    <n v="544.85419676676725"/>
    <n v="166.7634981586946"/>
    <n v="0"/>
    <n v="526333.93119999999"/>
    <n v="220699.98280000003"/>
    <n v="0"/>
    <n v="647406.65368220815"/>
    <n v="198151.72378212411"/>
  </r>
  <r>
    <s v="Refaturamento - Regular"/>
    <x v="1"/>
    <x v="3"/>
    <x v="2"/>
    <x v="1"/>
    <x v="0"/>
    <x v="0"/>
    <x v="2"/>
    <x v="3"/>
    <n v="0"/>
    <n v="0"/>
    <n v="-7.8010000000000002"/>
    <n v="-7.8010000000000002"/>
    <n v="-7.8010000000000002"/>
    <n v="-7.8010000000000002"/>
    <n v="0"/>
    <x v="0"/>
    <n v="0"/>
    <n v="0"/>
    <n v="32"/>
    <n v="76"/>
    <n v="0"/>
    <n v="442.96"/>
    <n v="185.74"/>
    <m/>
    <n v="544.85419676676725"/>
    <n v="166.7634981586946"/>
    <n v="0"/>
    <n v="-3455.5309600000001"/>
    <n v="-1448.9577400000001"/>
    <n v="0"/>
    <n v="-4250.4075889775513"/>
    <n v="-1300.9220491359765"/>
  </r>
  <r>
    <s v="Sistema de Compensação"/>
    <x v="1"/>
    <x v="3"/>
    <x v="2"/>
    <x v="1"/>
    <x v="0"/>
    <x v="0"/>
    <x v="2"/>
    <x v="3"/>
    <n v="0"/>
    <n v="0"/>
    <n v="7.101"/>
    <n v="7.101"/>
    <n v="7.101"/>
    <n v="7.101"/>
    <n v="58"/>
    <x v="0"/>
    <n v="0"/>
    <n v="0"/>
    <n v="32"/>
    <n v="76"/>
    <n v="0"/>
    <n v="442.96"/>
    <n v="185.74"/>
    <m/>
    <n v="544.85419676676725"/>
    <n v="166.7634981586946"/>
    <n v="0"/>
    <n v="3145.4589599999999"/>
    <n v="1318.93974"/>
    <n v="0"/>
    <n v="3869.009651240814"/>
    <n v="1184.1876004248904"/>
  </r>
  <r>
    <s v="Regular"/>
    <x v="1"/>
    <x v="3"/>
    <x v="2"/>
    <x v="1"/>
    <x v="0"/>
    <x v="0"/>
    <x v="2"/>
    <x v="4"/>
    <n v="0"/>
    <n v="0"/>
    <n v="1529.3979999999999"/>
    <n v="1529.3979999999999"/>
    <n v="1529.3979999999999"/>
    <n v="1529.3979999999999"/>
    <n v="8125"/>
    <x v="0"/>
    <n v="0"/>
    <n v="0"/>
    <n v="32"/>
    <n v="76"/>
    <n v="0"/>
    <n v="442.96"/>
    <n v="185.74"/>
    <m/>
    <n v="544.85419676676725"/>
    <n v="166.7634981586946"/>
    <n v="0"/>
    <n v="677462.13807999995"/>
    <n v="284070.38452000002"/>
    <n v="0"/>
    <n v="833298.91882670019"/>
    <n v="255047.76055691121"/>
  </r>
  <r>
    <s v="Refaturamento - Regular"/>
    <x v="1"/>
    <x v="3"/>
    <x v="2"/>
    <x v="1"/>
    <x v="0"/>
    <x v="0"/>
    <x v="2"/>
    <x v="4"/>
    <n v="0"/>
    <n v="0"/>
    <n v="-3.8340000000000001"/>
    <n v="-3.8340000000000001"/>
    <n v="-3.8340000000000001"/>
    <n v="-3.8340000000000001"/>
    <n v="0"/>
    <x v="0"/>
    <n v="0"/>
    <n v="0"/>
    <n v="32"/>
    <n v="76"/>
    <n v="0"/>
    <n v="442.96"/>
    <n v="185.74"/>
    <m/>
    <n v="544.85419676676725"/>
    <n v="166.7634981586946"/>
    <n v="0"/>
    <n v="-1698.30864"/>
    <n v="-712.12716"/>
    <n v="0"/>
    <n v="-2088.9709904037854"/>
    <n v="-639.37125194043517"/>
  </r>
  <r>
    <s v="Sistema de Compensação"/>
    <x v="1"/>
    <x v="3"/>
    <x v="2"/>
    <x v="1"/>
    <x v="0"/>
    <x v="0"/>
    <x v="2"/>
    <x v="4"/>
    <n v="0"/>
    <n v="0"/>
    <n v="6.8049999999999997"/>
    <n v="6.8049999999999997"/>
    <n v="6.8049999999999997"/>
    <n v="6.8049999999999997"/>
    <n v="60"/>
    <x v="0"/>
    <n v="0"/>
    <n v="0"/>
    <n v="32"/>
    <n v="76"/>
    <n v="0"/>
    <n v="442.96"/>
    <n v="185.74"/>
    <m/>
    <n v="544.85419676676725"/>
    <n v="166.7634981586946"/>
    <n v="0"/>
    <n v="3014.3427999999999"/>
    <n v="1263.9607000000001"/>
    <n v="0"/>
    <n v="3707.732808997851"/>
    <n v="1134.8256049699166"/>
  </r>
  <r>
    <s v="Regular"/>
    <x v="1"/>
    <x v="3"/>
    <x v="2"/>
    <x v="1"/>
    <x v="0"/>
    <x v="0"/>
    <x v="2"/>
    <x v="5"/>
    <n v="0"/>
    <n v="0"/>
    <n v="1589.87"/>
    <n v="1589.87"/>
    <n v="1589.87"/>
    <n v="1589.87"/>
    <n v="8178"/>
    <x v="0"/>
    <n v="0"/>
    <n v="0"/>
    <n v="32"/>
    <n v="76"/>
    <n v="0"/>
    <n v="442.96"/>
    <n v="185.74"/>
    <m/>
    <n v="544.85419676676725"/>
    <n v="166.7634981586946"/>
    <n v="0"/>
    <n v="704248.81519999995"/>
    <n v="295302.45380000002"/>
    <n v="0"/>
    <n v="866247.34181358013"/>
    <n v="265132.28281756374"/>
  </r>
  <r>
    <s v="Refaturamento - Regular"/>
    <x v="1"/>
    <x v="3"/>
    <x v="2"/>
    <x v="1"/>
    <x v="0"/>
    <x v="0"/>
    <x v="2"/>
    <x v="5"/>
    <n v="0"/>
    <n v="0"/>
    <n v="-21.033999999999999"/>
    <n v="-21.033999999999999"/>
    <n v="-21.033999999999999"/>
    <n v="-21.033999999999999"/>
    <n v="0"/>
    <x v="0"/>
    <n v="0"/>
    <n v="0"/>
    <n v="32"/>
    <n v="76"/>
    <n v="0"/>
    <n v="442.96"/>
    <n v="185.74"/>
    <m/>
    <n v="544.85419676676725"/>
    <n v="166.7634981586946"/>
    <n v="0"/>
    <n v="-9317.2206399999995"/>
    <n v="-3906.8551600000001"/>
    <n v="0"/>
    <n v="-11460.463174792181"/>
    <n v="-3507.703420269982"/>
  </r>
  <r>
    <s v="Sistema de Compensação"/>
    <x v="1"/>
    <x v="3"/>
    <x v="2"/>
    <x v="1"/>
    <x v="0"/>
    <x v="0"/>
    <x v="2"/>
    <x v="5"/>
    <n v="0"/>
    <n v="0"/>
    <n v="9.125"/>
    <n v="9.125"/>
    <n v="9.125"/>
    <n v="9.125"/>
    <n v="69"/>
    <x v="0"/>
    <n v="0"/>
    <n v="0"/>
    <n v="32"/>
    <n v="76"/>
    <n v="0"/>
    <n v="442.96"/>
    <n v="185.74"/>
    <m/>
    <n v="544.85419676676725"/>
    <n v="166.7634981586946"/>
    <n v="0"/>
    <n v="4042.0099999999998"/>
    <n v="1694.8775000000001"/>
    <n v="0"/>
    <n v="4971.7945454967512"/>
    <n v="1521.7169206980882"/>
  </r>
  <r>
    <s v="Sistema de Compensação"/>
    <x v="1"/>
    <x v="3"/>
    <x v="2"/>
    <x v="1"/>
    <x v="0"/>
    <x v="0"/>
    <x v="2"/>
    <x v="5"/>
    <n v="0"/>
    <n v="0"/>
    <n v="15.984"/>
    <n v="15.984"/>
    <n v="15.984"/>
    <n v="15.984"/>
    <n v="1"/>
    <x v="0"/>
    <n v="0"/>
    <n v="0"/>
    <n v="32"/>
    <n v="76"/>
    <n v="0"/>
    <n v="442.96"/>
    <n v="185.74"/>
    <m/>
    <n v="544.85419676676725"/>
    <n v="166.7634981586946"/>
    <n v="0"/>
    <n v="7080.2726399999992"/>
    <n v="2968.86816"/>
    <n v="0"/>
    <n v="8708.9494811200075"/>
    <n v="2665.5477545685744"/>
  </r>
  <r>
    <s v="Regular"/>
    <x v="1"/>
    <x v="3"/>
    <x v="2"/>
    <x v="1"/>
    <x v="0"/>
    <x v="0"/>
    <x v="2"/>
    <x v="6"/>
    <n v="0"/>
    <n v="0"/>
    <n v="1452.6479999999999"/>
    <n v="1452.6479999999999"/>
    <n v="1452.6479999999999"/>
    <n v="1452.6479999999999"/>
    <n v="8203"/>
    <x v="0"/>
    <n v="0"/>
    <n v="0"/>
    <n v="32"/>
    <n v="76"/>
    <n v="0"/>
    <n v="442.96"/>
    <n v="185.74"/>
    <m/>
    <n v="544.85419676676725"/>
    <n v="166.7634981586946"/>
    <n v="0"/>
    <n v="643464.95807999989"/>
    <n v="269814.83951999998"/>
    <n v="0"/>
    <n v="791481.35922485089"/>
    <n v="242248.66207323139"/>
  </r>
  <r>
    <s v="Refaturamento - Regular"/>
    <x v="1"/>
    <x v="3"/>
    <x v="2"/>
    <x v="1"/>
    <x v="0"/>
    <x v="0"/>
    <x v="2"/>
    <x v="6"/>
    <n v="0"/>
    <n v="0"/>
    <n v="-3.2749999999999999"/>
    <n v="-3.2749999999999999"/>
    <n v="-3.2749999999999999"/>
    <n v="-3.2749999999999999"/>
    <n v="0"/>
    <x v="0"/>
    <n v="0"/>
    <n v="0"/>
    <n v="32"/>
    <n v="76"/>
    <n v="0"/>
    <n v="442.96"/>
    <n v="185.74"/>
    <m/>
    <n v="544.85419676676725"/>
    <n v="166.7634981586946"/>
    <n v="0"/>
    <n v="-1450.694"/>
    <n v="-608.29849999999999"/>
    <n v="0"/>
    <n v="-1784.3974944111626"/>
    <n v="-546.15045646972476"/>
  </r>
  <r>
    <s v="Sistema de Compensação"/>
    <x v="1"/>
    <x v="3"/>
    <x v="2"/>
    <x v="1"/>
    <x v="0"/>
    <x v="0"/>
    <x v="2"/>
    <x v="6"/>
    <n v="0"/>
    <n v="0"/>
    <n v="28.681999999999999"/>
    <n v="28.681999999999999"/>
    <n v="28.681999999999999"/>
    <n v="28.681999999999999"/>
    <n v="76"/>
    <x v="0"/>
    <n v="0"/>
    <n v="0"/>
    <n v="32"/>
    <n v="76"/>
    <n v="0"/>
    <n v="442.96"/>
    <n v="185.74"/>
    <m/>
    <n v="544.85419676676725"/>
    <n v="166.7634981586946"/>
    <n v="0"/>
    <n v="12704.978719999999"/>
    <n v="5327.3946800000003"/>
    <n v="0"/>
    <n v="15627.508071664417"/>
    <n v="4783.1106541876779"/>
  </r>
  <r>
    <s v="Regular"/>
    <x v="1"/>
    <x v="3"/>
    <x v="2"/>
    <x v="1"/>
    <x v="0"/>
    <x v="0"/>
    <x v="2"/>
    <x v="7"/>
    <n v="0"/>
    <n v="0"/>
    <n v="1364.9770000000001"/>
    <n v="1364.9770000000001"/>
    <n v="1364.9770000000001"/>
    <n v="1364.9770000000001"/>
    <n v="8104"/>
    <x v="0"/>
    <n v="0"/>
    <n v="0"/>
    <n v="32"/>
    <n v="76"/>
    <n v="0"/>
    <n v="442.96"/>
    <n v="185.74"/>
    <m/>
    <n v="544.85419676676725"/>
    <n v="166.7634981586946"/>
    <n v="0"/>
    <n v="604630.21192000003"/>
    <n v="253530.82798000003"/>
    <n v="0"/>
    <n v="743713.44694011169"/>
    <n v="227628.3394261605"/>
  </r>
  <r>
    <s v="Refaturamento - Regular"/>
    <x v="1"/>
    <x v="3"/>
    <x v="2"/>
    <x v="1"/>
    <x v="0"/>
    <x v="0"/>
    <x v="2"/>
    <x v="7"/>
    <n v="0"/>
    <n v="0"/>
    <n v="5.3970000000000002"/>
    <n v="5.3970000000000002"/>
    <n v="5.3970000000000002"/>
    <n v="5.3970000000000002"/>
    <n v="0"/>
    <x v="0"/>
    <n v="0"/>
    <n v="0"/>
    <n v="32"/>
    <n v="76"/>
    <n v="0"/>
    <n v="442.96"/>
    <n v="185.74"/>
    <m/>
    <n v="544.85419676676725"/>
    <n v="166.7634981586946"/>
    <n v="0"/>
    <n v="2390.6551199999999"/>
    <n v="1002.4387800000001"/>
    <n v="0"/>
    <n v="2940.5780999502431"/>
    <n v="900.02259956247485"/>
  </r>
  <r>
    <s v="Sistema de Compensação"/>
    <x v="1"/>
    <x v="3"/>
    <x v="2"/>
    <x v="1"/>
    <x v="0"/>
    <x v="0"/>
    <x v="2"/>
    <x v="7"/>
    <n v="0"/>
    <n v="0"/>
    <n v="31.420999999999999"/>
    <n v="31.420999999999999"/>
    <n v="31.420999999999999"/>
    <n v="31.420999999999999"/>
    <n v="78"/>
    <x v="0"/>
    <n v="0"/>
    <n v="0"/>
    <n v="32"/>
    <n v="76"/>
    <n v="0"/>
    <n v="442.96"/>
    <n v="185.74"/>
    <m/>
    <n v="544.85419676676725"/>
    <n v="166.7634981586946"/>
    <n v="0"/>
    <n v="13918.246159999999"/>
    <n v="5836.1365400000004"/>
    <n v="0"/>
    <n v="17119.863716608594"/>
    <n v="5239.8758756443431"/>
  </r>
  <r>
    <s v="Sistema de Compensação"/>
    <x v="1"/>
    <x v="3"/>
    <x v="2"/>
    <x v="1"/>
    <x v="0"/>
    <x v="0"/>
    <x v="2"/>
    <x v="7"/>
    <n v="0"/>
    <n v="0"/>
    <n v="-12.362"/>
    <n v="-12.362"/>
    <n v="-12.362"/>
    <n v="-12.362"/>
    <n v="1"/>
    <x v="0"/>
    <n v="0"/>
    <n v="0"/>
    <n v="32"/>
    <n v="76"/>
    <n v="0"/>
    <n v="442.96"/>
    <n v="185.74"/>
    <m/>
    <n v="544.85419676676725"/>
    <n v="166.7634981586946"/>
    <n v="0"/>
    <n v="-5475.8715199999997"/>
    <n v="-2296.1178800000002"/>
    <n v="0"/>
    <n v="-6735.4875804307767"/>
    <n v="-2061.5303642377826"/>
  </r>
  <r>
    <s v="Regular"/>
    <x v="1"/>
    <x v="3"/>
    <x v="2"/>
    <x v="1"/>
    <x v="0"/>
    <x v="0"/>
    <x v="2"/>
    <x v="8"/>
    <n v="0"/>
    <n v="0"/>
    <n v="1274.4059999999999"/>
    <n v="1274.4059999999999"/>
    <n v="1274.4059999999999"/>
    <n v="1274.4059999999999"/>
    <n v="8231"/>
    <x v="0"/>
    <n v="0"/>
    <n v="0"/>
    <n v="32"/>
    <n v="76"/>
    <n v="0"/>
    <n v="442.96"/>
    <n v="185.74"/>
    <m/>
    <n v="544.85419676676725"/>
    <n v="166.7634981586946"/>
    <n v="0"/>
    <n v="564510.8817599999"/>
    <n v="236708.17044000002"/>
    <n v="0"/>
    <n v="694365.4574847488"/>
    <n v="212524.40263442934"/>
  </r>
  <r>
    <s v="Refaturamento - Regular"/>
    <x v="1"/>
    <x v="3"/>
    <x v="2"/>
    <x v="1"/>
    <x v="0"/>
    <x v="0"/>
    <x v="2"/>
    <x v="8"/>
    <n v="0"/>
    <n v="0"/>
    <n v="-11.041"/>
    <n v="-11.041"/>
    <n v="-11.041"/>
    <n v="-11.041"/>
    <n v="0"/>
    <x v="0"/>
    <n v="0"/>
    <n v="0"/>
    <n v="32"/>
    <n v="76"/>
    <n v="0"/>
    <n v="442.96"/>
    <n v="185.74"/>
    <m/>
    <n v="544.85419676676725"/>
    <n v="166.7634981586946"/>
    <n v="0"/>
    <n v="-4890.7213599999995"/>
    <n v="-2050.7553400000002"/>
    <n v="0"/>
    <n v="-6015.7351865018773"/>
    <n v="-1841.2357831701472"/>
  </r>
  <r>
    <s v="Sistema de Compensação"/>
    <x v="1"/>
    <x v="3"/>
    <x v="2"/>
    <x v="1"/>
    <x v="0"/>
    <x v="0"/>
    <x v="2"/>
    <x v="8"/>
    <n v="0"/>
    <n v="0"/>
    <n v="12.147"/>
    <n v="12.147"/>
    <n v="12.147"/>
    <n v="12.147"/>
    <n v="87"/>
    <x v="0"/>
    <n v="0"/>
    <n v="0"/>
    <n v="32"/>
    <n v="76"/>
    <n v="0"/>
    <n v="442.96"/>
    <n v="185.74"/>
    <m/>
    <n v="544.85419676676725"/>
    <n v="166.7634981586946"/>
    <n v="0"/>
    <n v="5380.6351199999999"/>
    <n v="2256.1837800000003"/>
    <n v="0"/>
    <n v="6618.3439281259216"/>
    <n v="2025.6762121336633"/>
  </r>
  <r>
    <s v="Sistema de Compensação"/>
    <x v="1"/>
    <x v="3"/>
    <x v="2"/>
    <x v="1"/>
    <x v="0"/>
    <x v="0"/>
    <x v="2"/>
    <x v="8"/>
    <n v="0"/>
    <n v="0"/>
    <n v="-17.548999999999999"/>
    <n v="-17.548999999999999"/>
    <n v="-17.548999999999999"/>
    <n v="-17.548999999999999"/>
    <n v="4"/>
    <x v="0"/>
    <n v="0"/>
    <n v="0"/>
    <n v="32"/>
    <n v="76"/>
    <n v="0"/>
    <n v="442.96"/>
    <n v="185.74"/>
    <m/>
    <n v="544.85419676676725"/>
    <n v="166.7634981586946"/>
    <n v="0"/>
    <n v="-7773.5050399999991"/>
    <n v="-3259.5512600000002"/>
    <n v="0"/>
    <n v="-9561.6462990599975"/>
    <n v="-2926.5326291869314"/>
  </r>
  <r>
    <s v="Regular"/>
    <x v="1"/>
    <x v="3"/>
    <x v="2"/>
    <x v="1"/>
    <x v="0"/>
    <x v="0"/>
    <x v="2"/>
    <x v="9"/>
    <n v="0"/>
    <n v="0"/>
    <n v="1329.1890000000001"/>
    <n v="1329.1890000000001"/>
    <n v="1329.1890000000001"/>
    <n v="1329.1890000000001"/>
    <n v="8264"/>
    <x v="0"/>
    <n v="0"/>
    <n v="0"/>
    <n v="32"/>
    <n v="76"/>
    <n v="0"/>
    <n v="442.96"/>
    <n v="185.74"/>
    <m/>
    <n v="544.85419676676725"/>
    <n v="166.7634981586946"/>
    <n v="0"/>
    <n v="588777.55943999998"/>
    <n v="246883.56486000001"/>
    <n v="0"/>
    <n v="724214.2049462226"/>
    <n v="221660.20735405714"/>
  </r>
  <r>
    <s v="Refaturamento - Regular"/>
    <x v="1"/>
    <x v="3"/>
    <x v="2"/>
    <x v="1"/>
    <x v="0"/>
    <x v="0"/>
    <x v="2"/>
    <x v="9"/>
    <n v="0"/>
    <n v="0"/>
    <n v="-0.57799999999999996"/>
    <n v="-0.57799999999999996"/>
    <n v="-0.57799999999999996"/>
    <n v="-0.57799999999999996"/>
    <n v="0"/>
    <x v="0"/>
    <n v="0"/>
    <n v="0"/>
    <n v="32"/>
    <n v="76"/>
    <n v="0"/>
    <n v="442.96"/>
    <n v="185.74"/>
    <m/>
    <n v="544.85419676676725"/>
    <n v="166.7634981586946"/>
    <n v="0"/>
    <n v="-256.03087999999997"/>
    <n v="-107.35772"/>
    <n v="0"/>
    <n v="-314.92572573119145"/>
    <n v="-96.38930193572547"/>
  </r>
  <r>
    <s v="Sistema de Compensação"/>
    <x v="1"/>
    <x v="3"/>
    <x v="2"/>
    <x v="1"/>
    <x v="0"/>
    <x v="0"/>
    <x v="2"/>
    <x v="9"/>
    <n v="0"/>
    <n v="0"/>
    <n v="0.192"/>
    <n v="0.192"/>
    <n v="0.192"/>
    <n v="0.192"/>
    <n v="3"/>
    <x v="0"/>
    <n v="0"/>
    <n v="0"/>
    <n v="32"/>
    <n v="76"/>
    <n v="0"/>
    <n v="442.96"/>
    <n v="185.74"/>
    <m/>
    <n v="544.85419676676725"/>
    <n v="166.7634981586946"/>
    <n v="0"/>
    <n v="85.048320000000004"/>
    <n v="35.662080000000003"/>
    <n v="0"/>
    <n v="104.61200577921932"/>
    <n v="32.018591646469368"/>
  </r>
  <r>
    <s v="Regular"/>
    <x v="1"/>
    <x v="3"/>
    <x v="2"/>
    <x v="1"/>
    <x v="0"/>
    <x v="0"/>
    <x v="2"/>
    <x v="10"/>
    <n v="0"/>
    <n v="0"/>
    <n v="1144.6780000000001"/>
    <n v="1144.6780000000001"/>
    <n v="1144.6780000000001"/>
    <n v="1144.6780000000001"/>
    <n v="8293"/>
    <x v="0"/>
    <n v="0"/>
    <n v="0"/>
    <n v="32"/>
    <n v="76"/>
    <n v="0"/>
    <n v="442.96"/>
    <n v="185.74"/>
    <m/>
    <n v="544.85419676676725"/>
    <n v="166.7634981586946"/>
    <n v="0"/>
    <n v="507046.56688"/>
    <n v="212612.49172000002"/>
    <n v="0"/>
    <n v="623682.61224658962"/>
    <n v="190890.50754529823"/>
  </r>
  <r>
    <s v="Refaturamento - Regular"/>
    <x v="1"/>
    <x v="3"/>
    <x v="2"/>
    <x v="1"/>
    <x v="0"/>
    <x v="0"/>
    <x v="2"/>
    <x v="10"/>
    <n v="0"/>
    <n v="0"/>
    <n v="-1.2889999999999999"/>
    <n v="-1.2889999999999999"/>
    <n v="-1.2889999999999999"/>
    <n v="-1.2889999999999999"/>
    <n v="0"/>
    <x v="0"/>
    <n v="0"/>
    <n v="0"/>
    <n v="32"/>
    <n v="76"/>
    <n v="0"/>
    <n v="442.96"/>
    <n v="185.74"/>
    <m/>
    <n v="544.85419676676725"/>
    <n v="166.7634981586946"/>
    <n v="0"/>
    <n v="-570.97543999999994"/>
    <n v="-239.41886"/>
    <n v="0"/>
    <n v="-702.31705963236288"/>
    <n v="-214.95814912655732"/>
  </r>
  <r>
    <s v="Sistema de Compensação"/>
    <x v="1"/>
    <x v="3"/>
    <x v="2"/>
    <x v="1"/>
    <x v="0"/>
    <x v="0"/>
    <x v="2"/>
    <x v="10"/>
    <n v="0"/>
    <n v="0"/>
    <n v="21.67"/>
    <n v="21.67"/>
    <n v="21.67"/>
    <n v="21.67"/>
    <n v="104"/>
    <x v="0"/>
    <n v="0"/>
    <n v="0"/>
    <n v="32"/>
    <n v="76"/>
    <n v="0"/>
    <n v="442.96"/>
    <n v="185.74"/>
    <m/>
    <n v="544.85419676676725"/>
    <n v="166.7634981586946"/>
    <n v="0"/>
    <n v="9598.9431999999997"/>
    <n v="4024.9858000000004"/>
    <n v="0"/>
    <n v="11806.990443935847"/>
    <n v="3613.7650050989123"/>
  </r>
  <r>
    <s v="Regular"/>
    <x v="1"/>
    <x v="3"/>
    <x v="2"/>
    <x v="1"/>
    <x v="0"/>
    <x v="0"/>
    <x v="2"/>
    <x v="11"/>
    <n v="0"/>
    <n v="0"/>
    <n v="1352.2570000000001"/>
    <n v="1352.2570000000001"/>
    <n v="1352.2570000000001"/>
    <n v="1352.2570000000001"/>
    <n v="8393"/>
    <x v="0"/>
    <n v="0"/>
    <n v="0"/>
    <n v="32"/>
    <n v="76"/>
    <n v="0"/>
    <n v="442.96"/>
    <n v="185.74"/>
    <m/>
    <n v="544.85419676676725"/>
    <n v="166.7634981586946"/>
    <n v="0"/>
    <n v="598995.76072000002"/>
    <n v="251168.21518000003"/>
    <n v="0"/>
    <n v="736782.90155723842"/>
    <n v="225507.10772958188"/>
  </r>
  <r>
    <s v="Refaturamento - Regular"/>
    <x v="1"/>
    <x v="3"/>
    <x v="2"/>
    <x v="1"/>
    <x v="0"/>
    <x v="0"/>
    <x v="2"/>
    <x v="11"/>
    <n v="0"/>
    <n v="0"/>
    <n v="-0.123"/>
    <n v="-0.123"/>
    <n v="-0.123"/>
    <n v="-0.123"/>
    <n v="0"/>
    <x v="0"/>
    <n v="0"/>
    <n v="0"/>
    <n v="32"/>
    <n v="76"/>
    <n v="0"/>
    <n v="442.96"/>
    <n v="185.74"/>
    <m/>
    <n v="544.85419676676725"/>
    <n v="166.7634981586946"/>
    <n v="0"/>
    <n v="-54.484079999999999"/>
    <n v="-22.846019999999999"/>
    <n v="0"/>
    <n v="-67.017066202312364"/>
    <n v="-20.511910273519437"/>
  </r>
  <r>
    <s v="Sistema de Compensação"/>
    <x v="1"/>
    <x v="3"/>
    <x v="2"/>
    <x v="1"/>
    <x v="0"/>
    <x v="0"/>
    <x v="2"/>
    <x v="11"/>
    <n v="0"/>
    <n v="0"/>
    <n v="20.401"/>
    <n v="20.401"/>
    <n v="20.401"/>
    <n v="20.401"/>
    <n v="112"/>
    <x v="0"/>
    <n v="0"/>
    <n v="0"/>
    <n v="32"/>
    <n v="76"/>
    <n v="0"/>
    <n v="442.96"/>
    <n v="185.74"/>
    <m/>
    <n v="544.85419676676725"/>
    <n v="166.7634981586946"/>
    <n v="0"/>
    <n v="9036.8269600000003"/>
    <n v="3789.2817400000004"/>
    <n v="0"/>
    <n v="11115.570468238819"/>
    <n v="3402.1421259355284"/>
  </r>
  <r>
    <s v="Regular"/>
    <x v="1"/>
    <x v="3"/>
    <x v="2"/>
    <x v="2"/>
    <x v="0"/>
    <x v="0"/>
    <x v="2"/>
    <x v="0"/>
    <n v="0"/>
    <n v="0"/>
    <n v="6.03"/>
    <n v="6.03"/>
    <n v="6.03"/>
    <n v="6.03"/>
    <n v="13"/>
    <x v="0"/>
    <n v="0"/>
    <n v="0"/>
    <n v="34"/>
    <n v="77"/>
    <n v="0"/>
    <n v="131.37"/>
    <n v="65.010000000000005"/>
    <m/>
    <n v="153.49478909228577"/>
    <n v="58.367224355543108"/>
    <n v="0"/>
    <n v="792.16110000000003"/>
    <n v="392.01030000000003"/>
    <n v="0"/>
    <n v="925.57357822648328"/>
    <n v="351.95436286392493"/>
  </r>
  <r>
    <s v="Regular"/>
    <x v="1"/>
    <x v="3"/>
    <x v="2"/>
    <x v="2"/>
    <x v="0"/>
    <x v="0"/>
    <x v="2"/>
    <x v="1"/>
    <n v="0"/>
    <n v="0"/>
    <n v="6"/>
    <n v="6"/>
    <n v="6"/>
    <n v="6"/>
    <n v="14"/>
    <x v="0"/>
    <n v="0"/>
    <n v="0"/>
    <n v="34"/>
    <n v="77"/>
    <n v="0"/>
    <n v="131.37"/>
    <n v="65.010000000000005"/>
    <m/>
    <n v="153.49478909228577"/>
    <n v="58.367224355543108"/>
    <n v="0"/>
    <n v="788.22"/>
    <n v="390.06000000000006"/>
    <n v="0"/>
    <n v="920.96873455371463"/>
    <n v="350.20334613325866"/>
  </r>
  <r>
    <s v="Regular"/>
    <x v="1"/>
    <x v="3"/>
    <x v="2"/>
    <x v="2"/>
    <x v="0"/>
    <x v="0"/>
    <x v="2"/>
    <x v="2"/>
    <n v="0"/>
    <n v="0"/>
    <n v="6.03"/>
    <n v="6.03"/>
    <n v="6.03"/>
    <n v="6.03"/>
    <n v="11"/>
    <x v="0"/>
    <n v="0"/>
    <n v="0"/>
    <n v="34"/>
    <n v="77"/>
    <n v="0"/>
    <n v="131.37"/>
    <n v="65.010000000000005"/>
    <m/>
    <n v="153.49478909228577"/>
    <n v="58.367224355543108"/>
    <n v="0"/>
    <n v="792.16110000000003"/>
    <n v="392.01030000000003"/>
    <n v="0"/>
    <n v="925.57357822648328"/>
    <n v="351.95436286392493"/>
  </r>
  <r>
    <s v="Refaturamento - Regular"/>
    <x v="1"/>
    <x v="3"/>
    <x v="2"/>
    <x v="2"/>
    <x v="0"/>
    <x v="0"/>
    <x v="2"/>
    <x v="2"/>
    <n v="0"/>
    <n v="0"/>
    <n v="-5.0000000000000001E-3"/>
    <n v="-5.0000000000000001E-3"/>
    <n v="-5.0000000000000001E-3"/>
    <n v="-5.0000000000000001E-3"/>
    <n v="0"/>
    <x v="0"/>
    <n v="0"/>
    <n v="0"/>
    <n v="34"/>
    <n v="77"/>
    <n v="0"/>
    <n v="131.37"/>
    <n v="65.010000000000005"/>
    <m/>
    <n v="153.49478909228577"/>
    <n v="58.367224355543108"/>
    <n v="0"/>
    <n v="-0.65685000000000004"/>
    <n v="-0.32505000000000001"/>
    <n v="0"/>
    <n v="-0.76747394546142889"/>
    <n v="-0.29183612177771556"/>
  </r>
  <r>
    <s v="Sistema de Compensação"/>
    <x v="1"/>
    <x v="3"/>
    <x v="2"/>
    <x v="2"/>
    <x v="0"/>
    <x v="0"/>
    <x v="2"/>
    <x v="2"/>
    <n v="0"/>
    <n v="0"/>
    <n v="0.03"/>
    <n v="1.0500000000000001E-2"/>
    <n v="0.03"/>
    <n v="1.0500000000000001E-2"/>
    <n v="0"/>
    <x v="0"/>
    <n v="0"/>
    <n v="0"/>
    <n v="34"/>
    <n v="77"/>
    <n v="0"/>
    <n v="131.37"/>
    <n v="65.010000000000005"/>
    <m/>
    <n v="153.49478909228577"/>
    <n v="58.367224355543108"/>
    <n v="0"/>
    <n v="1.3793850000000001"/>
    <n v="0.68260500000000013"/>
    <n v="0"/>
    <n v="1.6116952854690008"/>
    <n v="0.61285585573320267"/>
  </r>
  <r>
    <s v="Regular"/>
    <x v="1"/>
    <x v="3"/>
    <x v="2"/>
    <x v="2"/>
    <x v="0"/>
    <x v="0"/>
    <x v="2"/>
    <x v="3"/>
    <n v="0"/>
    <n v="0"/>
    <n v="6.03"/>
    <n v="6.03"/>
    <n v="6.03"/>
    <n v="6.03"/>
    <n v="12"/>
    <x v="0"/>
    <n v="0"/>
    <n v="0"/>
    <n v="34"/>
    <n v="77"/>
    <n v="0"/>
    <n v="131.37"/>
    <n v="65.010000000000005"/>
    <m/>
    <n v="153.49478909228577"/>
    <n v="58.367224355543108"/>
    <n v="0"/>
    <n v="792.16110000000003"/>
    <n v="392.01030000000003"/>
    <n v="0"/>
    <n v="925.57357822648328"/>
    <n v="351.95436286392493"/>
  </r>
  <r>
    <s v="Regular"/>
    <x v="1"/>
    <x v="3"/>
    <x v="2"/>
    <x v="2"/>
    <x v="0"/>
    <x v="0"/>
    <x v="2"/>
    <x v="4"/>
    <n v="0"/>
    <n v="0"/>
    <n v="5.97"/>
    <n v="5.97"/>
    <n v="5.97"/>
    <n v="5.97"/>
    <n v="10"/>
    <x v="0"/>
    <n v="0"/>
    <n v="0"/>
    <n v="34"/>
    <n v="77"/>
    <n v="0"/>
    <n v="131.37"/>
    <n v="65.010000000000005"/>
    <m/>
    <n v="153.49478909228577"/>
    <n v="58.367224355543108"/>
    <n v="0"/>
    <n v="784.27890000000002"/>
    <n v="388.10970000000003"/>
    <n v="0"/>
    <n v="916.36389088094597"/>
    <n v="348.45232940259234"/>
  </r>
  <r>
    <s v="Regular"/>
    <x v="1"/>
    <x v="3"/>
    <x v="2"/>
    <x v="2"/>
    <x v="0"/>
    <x v="0"/>
    <x v="2"/>
    <x v="5"/>
    <n v="0"/>
    <n v="0"/>
    <n v="5.7750000000000004"/>
    <n v="5.7750000000000004"/>
    <n v="5.7750000000000004"/>
    <n v="5.7750000000000004"/>
    <n v="9"/>
    <x v="0"/>
    <n v="0"/>
    <n v="0"/>
    <n v="34"/>
    <n v="77"/>
    <n v="0"/>
    <n v="131.37"/>
    <n v="65.010000000000005"/>
    <m/>
    <n v="153.49478909228577"/>
    <n v="58.367224355543108"/>
    <n v="0"/>
    <n v="758.6617500000001"/>
    <n v="375.43275000000006"/>
    <n v="0"/>
    <n v="886.43240700795036"/>
    <n v="337.07072065326145"/>
  </r>
  <r>
    <s v="Sistema de Compensação"/>
    <x v="1"/>
    <x v="3"/>
    <x v="2"/>
    <x v="2"/>
    <x v="0"/>
    <x v="0"/>
    <x v="2"/>
    <x v="5"/>
    <n v="0"/>
    <n v="0"/>
    <n v="0.03"/>
    <n v="1.0500000000000001E-2"/>
    <n v="0.03"/>
    <n v="1.0500000000000001E-2"/>
    <n v="0"/>
    <x v="0"/>
    <n v="0"/>
    <n v="0"/>
    <n v="34"/>
    <n v="77"/>
    <n v="0"/>
    <n v="131.37"/>
    <n v="65.010000000000005"/>
    <m/>
    <n v="153.49478909228577"/>
    <n v="58.367224355543108"/>
    <n v="0"/>
    <n v="1.3793850000000001"/>
    <n v="0.68260500000000013"/>
    <n v="0"/>
    <n v="1.6116952854690008"/>
    <n v="0.61285585573320267"/>
  </r>
  <r>
    <s v="Regular"/>
    <x v="1"/>
    <x v="3"/>
    <x v="2"/>
    <x v="2"/>
    <x v="0"/>
    <x v="0"/>
    <x v="2"/>
    <x v="6"/>
    <n v="0"/>
    <n v="0"/>
    <n v="6.54"/>
    <n v="6.54"/>
    <n v="6.54"/>
    <n v="6.54"/>
    <n v="13"/>
    <x v="0"/>
    <n v="0"/>
    <n v="0"/>
    <n v="34"/>
    <n v="77"/>
    <n v="0"/>
    <n v="131.37"/>
    <n v="65.010000000000005"/>
    <m/>
    <n v="153.49478909228577"/>
    <n v="58.367224355543108"/>
    <n v="0"/>
    <n v="859.15980000000002"/>
    <n v="425.16540000000003"/>
    <n v="0"/>
    <n v="1003.855920663549"/>
    <n v="381.72164728525195"/>
  </r>
  <r>
    <s v="Sistema de Compensação"/>
    <x v="1"/>
    <x v="3"/>
    <x v="2"/>
    <x v="2"/>
    <x v="0"/>
    <x v="0"/>
    <x v="2"/>
    <x v="6"/>
    <n v="0"/>
    <n v="0"/>
    <n v="0.03"/>
    <n v="1.0500000000000001E-2"/>
    <n v="0.03"/>
    <n v="1.0500000000000001E-2"/>
    <n v="0"/>
    <x v="0"/>
    <n v="0"/>
    <n v="0"/>
    <n v="34"/>
    <n v="77"/>
    <n v="0"/>
    <n v="131.37"/>
    <n v="65.010000000000005"/>
    <m/>
    <n v="153.49478909228577"/>
    <n v="58.367224355543108"/>
    <n v="0"/>
    <n v="1.3793850000000001"/>
    <n v="0.68260500000000013"/>
    <n v="0"/>
    <n v="1.6116952854690008"/>
    <n v="0.61285585573320267"/>
  </r>
  <r>
    <s v="Regular"/>
    <x v="1"/>
    <x v="3"/>
    <x v="2"/>
    <x v="2"/>
    <x v="0"/>
    <x v="0"/>
    <x v="2"/>
    <x v="7"/>
    <n v="0"/>
    <n v="0"/>
    <n v="11.1"/>
    <n v="11.1"/>
    <n v="11.1"/>
    <n v="11.1"/>
    <n v="31"/>
    <x v="0"/>
    <n v="0"/>
    <n v="0"/>
    <n v="34"/>
    <n v="77"/>
    <n v="0"/>
    <n v="131.37"/>
    <n v="65.010000000000005"/>
    <m/>
    <n v="153.49478909228577"/>
    <n v="58.367224355543108"/>
    <n v="0"/>
    <n v="1458.2070000000001"/>
    <n v="721.61099999999999"/>
    <n v="0"/>
    <n v="1703.792158924372"/>
    <n v="647.87619034652846"/>
  </r>
  <r>
    <s v="Refaturamento - Regular"/>
    <x v="1"/>
    <x v="3"/>
    <x v="2"/>
    <x v="2"/>
    <x v="0"/>
    <x v="0"/>
    <x v="2"/>
    <x v="7"/>
    <n v="0"/>
    <n v="0"/>
    <n v="-0.03"/>
    <n v="-0.03"/>
    <n v="-0.03"/>
    <n v="-0.03"/>
    <n v="0"/>
    <x v="0"/>
    <n v="0"/>
    <n v="0"/>
    <n v="34"/>
    <n v="77"/>
    <n v="0"/>
    <n v="131.37"/>
    <n v="65.010000000000005"/>
    <m/>
    <n v="153.49478909228577"/>
    <n v="58.367224355543108"/>
    <n v="0"/>
    <n v="-3.9411"/>
    <n v="-1.9503000000000001"/>
    <n v="0"/>
    <n v="-4.6048436727685731"/>
    <n v="-1.7510167306662932"/>
  </r>
  <r>
    <s v="Sistema de Compensação"/>
    <x v="1"/>
    <x v="3"/>
    <x v="2"/>
    <x v="2"/>
    <x v="0"/>
    <x v="0"/>
    <x v="2"/>
    <x v="7"/>
    <n v="0"/>
    <n v="0"/>
    <n v="5.2999999999999999E-2"/>
    <n v="-5.0349999999999999E-2"/>
    <n v="5.2999999999999999E-2"/>
    <n v="-5.0349999999999999E-2"/>
    <n v="0"/>
    <x v="0"/>
    <n v="0"/>
    <n v="0"/>
    <n v="34"/>
    <n v="77"/>
    <n v="0"/>
    <n v="131.37"/>
    <n v="65.010000000000005"/>
    <m/>
    <n v="153.49478909228577"/>
    <n v="58.367224355543108"/>
    <n v="0"/>
    <n v="-6.6144794999999998"/>
    <n v="-3.2732535"/>
    <n v="0"/>
    <n v="-7.7284626307965887"/>
    <n v="-2.9387897463015955"/>
  </r>
  <r>
    <s v="Regular"/>
    <x v="1"/>
    <x v="3"/>
    <x v="2"/>
    <x v="2"/>
    <x v="0"/>
    <x v="0"/>
    <x v="2"/>
    <x v="8"/>
    <n v="0"/>
    <n v="0"/>
    <n v="8.52"/>
    <n v="8.52"/>
    <n v="8.52"/>
    <n v="8.52"/>
    <n v="26"/>
    <x v="0"/>
    <n v="0"/>
    <n v="0"/>
    <n v="34"/>
    <n v="77"/>
    <n v="0"/>
    <n v="131.37"/>
    <n v="65.010000000000005"/>
    <m/>
    <n v="153.49478909228577"/>
    <n v="58.367224355543108"/>
    <n v="0"/>
    <n v="1119.2724000000001"/>
    <n v="553.88520000000005"/>
    <n v="0"/>
    <n v="1307.7756030662747"/>
    <n v="497.28875150922727"/>
  </r>
  <r>
    <s v="Sistema de Compensação"/>
    <x v="1"/>
    <x v="3"/>
    <x v="2"/>
    <x v="2"/>
    <x v="0"/>
    <x v="0"/>
    <x v="2"/>
    <x v="8"/>
    <n v="0"/>
    <n v="0"/>
    <n v="0.03"/>
    <n v="-2.8500000000000001E-2"/>
    <n v="0.03"/>
    <n v="-2.8500000000000001E-2"/>
    <n v="0"/>
    <x v="0"/>
    <n v="0"/>
    <n v="0"/>
    <n v="34"/>
    <n v="77"/>
    <n v="0"/>
    <n v="131.37"/>
    <n v="65.010000000000005"/>
    <m/>
    <n v="153.49478909228577"/>
    <n v="58.367224355543108"/>
    <n v="0"/>
    <n v="-3.7440450000000003"/>
    <n v="-1.8527850000000001"/>
    <n v="0"/>
    <n v="-4.3746014891301446"/>
    <n v="-1.6634658941329787"/>
  </r>
  <r>
    <s v="Regular"/>
    <x v="1"/>
    <x v="3"/>
    <x v="2"/>
    <x v="2"/>
    <x v="0"/>
    <x v="0"/>
    <x v="2"/>
    <x v="9"/>
    <n v="0"/>
    <n v="0"/>
    <n v="8.6999999999999993"/>
    <n v="8.6999999999999993"/>
    <n v="8.6999999999999993"/>
    <n v="8.6999999999999993"/>
    <n v="29"/>
    <x v="0"/>
    <n v="0"/>
    <n v="0"/>
    <n v="34"/>
    <n v="77"/>
    <n v="0"/>
    <n v="131.37"/>
    <n v="65.010000000000005"/>
    <m/>
    <n v="153.49478909228577"/>
    <n v="58.367224355543108"/>
    <n v="0"/>
    <n v="1142.9189999999999"/>
    <n v="565.58699999999999"/>
    <n v="0"/>
    <n v="1335.4046651028862"/>
    <n v="507.79485189322497"/>
  </r>
  <r>
    <s v="Regular"/>
    <x v="1"/>
    <x v="3"/>
    <x v="2"/>
    <x v="2"/>
    <x v="0"/>
    <x v="0"/>
    <x v="2"/>
    <x v="10"/>
    <n v="0"/>
    <n v="0"/>
    <n v="8.5500000000000007"/>
    <n v="8.5500000000000007"/>
    <n v="8.5500000000000007"/>
    <n v="8.5500000000000007"/>
    <n v="29"/>
    <x v="0"/>
    <n v="0"/>
    <n v="0"/>
    <n v="34"/>
    <n v="77"/>
    <n v="0"/>
    <n v="131.37"/>
    <n v="65.010000000000005"/>
    <m/>
    <n v="153.49478909228577"/>
    <n v="58.367224355543108"/>
    <n v="0"/>
    <n v="1123.2135000000001"/>
    <n v="555.83550000000014"/>
    <n v="0"/>
    <n v="1312.3804467390435"/>
    <n v="499.03976823989359"/>
  </r>
  <r>
    <s v="Regular"/>
    <x v="1"/>
    <x v="3"/>
    <x v="2"/>
    <x v="2"/>
    <x v="0"/>
    <x v="0"/>
    <x v="2"/>
    <x v="11"/>
    <n v="0"/>
    <n v="0"/>
    <n v="6.75"/>
    <n v="6.75"/>
    <n v="6.75"/>
    <n v="6.75"/>
    <n v="19"/>
    <x v="0"/>
    <n v="0"/>
    <n v="0"/>
    <n v="34"/>
    <n v="77"/>
    <n v="0"/>
    <n v="131.37"/>
    <n v="65.010000000000005"/>
    <m/>
    <n v="153.49478909228577"/>
    <n v="58.367224355543108"/>
    <n v="0"/>
    <n v="886.74750000000006"/>
    <n v="438.81750000000005"/>
    <n v="0"/>
    <n v="1036.0898263729289"/>
    <n v="393.97876439991597"/>
  </r>
  <r>
    <s v="Regular"/>
    <x v="1"/>
    <x v="3"/>
    <x v="2"/>
    <x v="3"/>
    <x v="0"/>
    <x v="0"/>
    <x v="2"/>
    <x v="0"/>
    <n v="0"/>
    <n v="0"/>
    <n v="12.154999999999999"/>
    <n v="12.154999999999999"/>
    <n v="12.154999999999999"/>
    <n v="12.154999999999999"/>
    <n v="36"/>
    <x v="0"/>
    <n v="0"/>
    <n v="0"/>
    <n v="36"/>
    <n v="78"/>
    <n v="0"/>
    <n v="225.21"/>
    <n v="111.45"/>
    <m/>
    <n v="263.1339241582042"/>
    <n v="100.05809889521676"/>
    <n v="0"/>
    <n v="2737.4275499999999"/>
    <n v="1354.6747499999999"/>
    <n v="0"/>
    <n v="3198.3928481429716"/>
    <n v="1216.2061920713597"/>
  </r>
  <r>
    <s v="Regular"/>
    <x v="1"/>
    <x v="3"/>
    <x v="2"/>
    <x v="3"/>
    <x v="0"/>
    <x v="0"/>
    <x v="2"/>
    <x v="1"/>
    <n v="0"/>
    <n v="0"/>
    <n v="12.137"/>
    <n v="12.137"/>
    <n v="12.137"/>
    <n v="12.137"/>
    <n v="37"/>
    <x v="0"/>
    <n v="0"/>
    <n v="0"/>
    <n v="36"/>
    <n v="78"/>
    <n v="0"/>
    <n v="225.21"/>
    <n v="111.45"/>
    <m/>
    <n v="263.1339241582042"/>
    <n v="100.05809889521676"/>
    <n v="0"/>
    <n v="2733.3737700000001"/>
    <n v="1352.6686500000001"/>
    <n v="0"/>
    <n v="3193.6564375081243"/>
    <n v="1214.405146291246"/>
  </r>
  <r>
    <s v="Regular"/>
    <x v="1"/>
    <x v="3"/>
    <x v="2"/>
    <x v="3"/>
    <x v="0"/>
    <x v="0"/>
    <x v="2"/>
    <x v="2"/>
    <n v="0"/>
    <n v="0"/>
    <n v="12.07"/>
    <n v="12.07"/>
    <n v="12.07"/>
    <n v="12.07"/>
    <n v="48"/>
    <x v="0"/>
    <n v="0"/>
    <n v="0"/>
    <n v="36"/>
    <n v="78"/>
    <n v="0"/>
    <n v="225.21"/>
    <n v="111.45"/>
    <m/>
    <n v="263.1339241582042"/>
    <n v="100.05809889521676"/>
    <n v="0"/>
    <n v="2718.2847000000002"/>
    <n v="1345.2015000000001"/>
    <n v="0"/>
    <n v="3176.0264645895245"/>
    <n v="1207.7012536652662"/>
  </r>
  <r>
    <s v="Refaturamento - Regular"/>
    <x v="1"/>
    <x v="3"/>
    <x v="2"/>
    <x v="3"/>
    <x v="0"/>
    <x v="0"/>
    <x v="2"/>
    <x v="2"/>
    <n v="0"/>
    <n v="0"/>
    <n v="-5.1999999999999998E-2"/>
    <n v="-5.1999999999999998E-2"/>
    <n v="-5.1999999999999998E-2"/>
    <n v="-5.1999999999999998E-2"/>
    <n v="0"/>
    <x v="0"/>
    <n v="0"/>
    <n v="0"/>
    <n v="36"/>
    <n v="78"/>
    <n v="0"/>
    <n v="225.21"/>
    <n v="111.45"/>
    <m/>
    <n v="263.1339241582042"/>
    <n v="100.05809889521676"/>
    <n v="0"/>
    <n v="-11.71092"/>
    <n v="-5.7953999999999999"/>
    <n v="0"/>
    <n v="-13.682964056226618"/>
    <n v="-5.2030211425512709"/>
  </r>
  <r>
    <s v="Sistema de Compensação"/>
    <x v="1"/>
    <x v="3"/>
    <x v="2"/>
    <x v="3"/>
    <x v="0"/>
    <x v="0"/>
    <x v="2"/>
    <x v="2"/>
    <n v="0"/>
    <n v="0"/>
    <n v="2.8000000000000001E-2"/>
    <n v="1.6799999999999999E-2"/>
    <n v="2.8000000000000001E-2"/>
    <n v="1.6799999999999999E-2"/>
    <n v="0"/>
    <x v="0"/>
    <n v="0"/>
    <n v="0"/>
    <n v="36"/>
    <n v="78"/>
    <n v="0"/>
    <n v="225.21"/>
    <n v="111.45"/>
    <m/>
    <n v="263.1339241582042"/>
    <n v="100.05809889521676"/>
    <n v="0"/>
    <n v="3.783528"/>
    <n v="1.87236"/>
    <n v="0"/>
    <n v="4.4206499258578305"/>
    <n v="1.6809760614396414"/>
  </r>
  <r>
    <s v="Regular"/>
    <x v="1"/>
    <x v="3"/>
    <x v="2"/>
    <x v="3"/>
    <x v="0"/>
    <x v="0"/>
    <x v="2"/>
    <x v="3"/>
    <n v="0"/>
    <n v="0"/>
    <n v="12.305999999999999"/>
    <n v="12.305999999999999"/>
    <n v="12.305999999999999"/>
    <n v="12.305999999999999"/>
    <n v="36"/>
    <x v="0"/>
    <n v="0"/>
    <n v="0"/>
    <n v="36"/>
    <n v="78"/>
    <n v="0"/>
    <n v="225.21"/>
    <n v="111.45"/>
    <m/>
    <n v="263.1339241582042"/>
    <n v="100.05809889521676"/>
    <n v="0"/>
    <n v="2771.43426"/>
    <n v="1371.5037"/>
    <n v="0"/>
    <n v="3238.1260706908606"/>
    <n v="1231.3149650045373"/>
  </r>
  <r>
    <s v="Regular"/>
    <x v="1"/>
    <x v="3"/>
    <x v="2"/>
    <x v="3"/>
    <x v="0"/>
    <x v="0"/>
    <x v="2"/>
    <x v="4"/>
    <n v="0"/>
    <n v="0"/>
    <n v="12.425000000000001"/>
    <n v="12.425000000000001"/>
    <n v="12.425000000000001"/>
    <n v="12.425000000000001"/>
    <n v="30"/>
    <x v="0"/>
    <n v="0"/>
    <n v="0"/>
    <n v="36"/>
    <n v="78"/>
    <n v="0"/>
    <n v="225.21"/>
    <n v="111.45"/>
    <m/>
    <n v="263.1339241582042"/>
    <n v="100.05809889521676"/>
    <n v="0"/>
    <n v="2798.2342500000004"/>
    <n v="1384.7662500000001"/>
    <n v="0"/>
    <n v="3269.4390076656873"/>
    <n v="1243.2218787730683"/>
  </r>
  <r>
    <s v="Regular"/>
    <x v="1"/>
    <x v="3"/>
    <x v="2"/>
    <x v="3"/>
    <x v="0"/>
    <x v="0"/>
    <x v="2"/>
    <x v="5"/>
    <n v="0"/>
    <n v="0"/>
    <n v="12.778"/>
    <n v="12.778"/>
    <n v="12.778"/>
    <n v="12.778"/>
    <n v="23"/>
    <x v="0"/>
    <n v="0"/>
    <n v="0"/>
    <n v="36"/>
    <n v="78"/>
    <n v="0"/>
    <n v="225.21"/>
    <n v="111.45"/>
    <m/>
    <n v="263.1339241582042"/>
    <n v="100.05809889521676"/>
    <n v="0"/>
    <n v="2877.7333800000001"/>
    <n v="1424.1081000000001"/>
    <n v="0"/>
    <n v="3362.3252828935333"/>
    <n v="1278.5423876830798"/>
  </r>
  <r>
    <s v="Regular"/>
    <x v="1"/>
    <x v="3"/>
    <x v="2"/>
    <x v="3"/>
    <x v="0"/>
    <x v="0"/>
    <x v="2"/>
    <x v="6"/>
    <n v="0"/>
    <n v="0"/>
    <n v="13.773"/>
    <n v="13.773"/>
    <n v="13.773"/>
    <n v="13.773"/>
    <n v="23"/>
    <x v="0"/>
    <n v="0"/>
    <n v="0"/>
    <n v="36"/>
    <n v="78"/>
    <n v="0"/>
    <n v="225.21"/>
    <n v="111.45"/>
    <m/>
    <n v="263.1339241582042"/>
    <n v="100.05809889521676"/>
    <n v="0"/>
    <n v="3101.8173299999999"/>
    <n v="1535.0008499999999"/>
    <n v="0"/>
    <n v="3624.1435374309463"/>
    <n v="1378.1001960838205"/>
  </r>
  <r>
    <s v="Regular"/>
    <x v="1"/>
    <x v="3"/>
    <x v="2"/>
    <x v="3"/>
    <x v="0"/>
    <x v="0"/>
    <x v="2"/>
    <x v="7"/>
    <n v="0"/>
    <n v="0"/>
    <n v="22.285"/>
    <n v="22.285"/>
    <n v="22.285"/>
    <n v="22.285"/>
    <n v="45"/>
    <x v="0"/>
    <n v="0"/>
    <n v="0"/>
    <n v="36"/>
    <n v="78"/>
    <n v="0"/>
    <n v="225.21"/>
    <n v="111.45"/>
    <m/>
    <n v="263.1339241582042"/>
    <n v="100.05809889521676"/>
    <n v="0"/>
    <n v="5018.8048500000004"/>
    <n v="2483.6632500000001"/>
    <n v="0"/>
    <n v="5863.9394998655807"/>
    <n v="2229.7947338799054"/>
  </r>
  <r>
    <s v="Refaturamento - Regular"/>
    <x v="1"/>
    <x v="3"/>
    <x v="2"/>
    <x v="3"/>
    <x v="0"/>
    <x v="0"/>
    <x v="2"/>
    <x v="7"/>
    <n v="0"/>
    <n v="0"/>
    <n v="-7.0000000000000007E-2"/>
    <n v="-7.0000000000000007E-2"/>
    <n v="-7.0000000000000007E-2"/>
    <n v="-7.0000000000000007E-2"/>
    <n v="0"/>
    <x v="0"/>
    <n v="0"/>
    <n v="0"/>
    <n v="36"/>
    <n v="78"/>
    <n v="0"/>
    <n v="225.21"/>
    <n v="111.45"/>
    <m/>
    <n v="263.1339241582042"/>
    <n v="100.05809889521676"/>
    <n v="0"/>
    <n v="-15.764700000000001"/>
    <n v="-7.8015000000000008"/>
    <n v="0"/>
    <n v="-18.419374691074296"/>
    <n v="-7.0040669226651735"/>
  </r>
  <r>
    <s v="Regular"/>
    <x v="1"/>
    <x v="3"/>
    <x v="2"/>
    <x v="3"/>
    <x v="0"/>
    <x v="0"/>
    <x v="2"/>
    <x v="8"/>
    <n v="0"/>
    <n v="0"/>
    <n v="16.582000000000001"/>
    <n v="16.582000000000001"/>
    <n v="16.582000000000001"/>
    <n v="16.582000000000001"/>
    <n v="51"/>
    <x v="0"/>
    <n v="0"/>
    <n v="0"/>
    <n v="36"/>
    <n v="78"/>
    <n v="0"/>
    <n v="225.21"/>
    <n v="111.45"/>
    <m/>
    <n v="263.1339241582042"/>
    <n v="100.05809889521676"/>
    <n v="0"/>
    <n v="3734.4322200000001"/>
    <n v="1848.0639000000001"/>
    <n v="0"/>
    <n v="4363.2867303913417"/>
    <n v="1659.1633958804844"/>
  </r>
  <r>
    <s v="Sistema de Compensação"/>
    <x v="1"/>
    <x v="3"/>
    <x v="2"/>
    <x v="3"/>
    <x v="0"/>
    <x v="0"/>
    <x v="2"/>
    <x v="8"/>
    <n v="0"/>
    <n v="0"/>
    <n v="7.0000000000000007E-2"/>
    <n v="-1.4E-2"/>
    <n v="7.0000000000000007E-2"/>
    <n v="-1.4E-2"/>
    <n v="0"/>
    <x v="0"/>
    <n v="0"/>
    <n v="0"/>
    <n v="36"/>
    <n v="78"/>
    <n v="0"/>
    <n v="225.21"/>
    <n v="111.45"/>
    <m/>
    <n v="263.1339241582042"/>
    <n v="100.05809889521676"/>
    <n v="0"/>
    <n v="-3.1529400000000001"/>
    <n v="-1.5603"/>
    <n v="0"/>
    <n v="-3.683874938214859"/>
    <n v="-1.4008133845330346"/>
  </r>
  <r>
    <s v="Regular"/>
    <x v="1"/>
    <x v="3"/>
    <x v="2"/>
    <x v="3"/>
    <x v="0"/>
    <x v="0"/>
    <x v="2"/>
    <x v="9"/>
    <n v="0"/>
    <n v="0"/>
    <n v="16.468"/>
    <n v="16.468"/>
    <n v="16.468"/>
    <n v="16.468"/>
    <n v="55"/>
    <x v="0"/>
    <n v="0"/>
    <n v="0"/>
    <n v="36"/>
    <n v="78"/>
    <n v="0"/>
    <n v="225.21"/>
    <n v="111.45"/>
    <m/>
    <n v="263.1339241582042"/>
    <n v="100.05809889521676"/>
    <n v="0"/>
    <n v="3708.75828"/>
    <n v="1835.3586"/>
    <n v="0"/>
    <n v="4333.2894630373066"/>
    <n v="1647.7567726064296"/>
  </r>
  <r>
    <s v="Regular"/>
    <x v="1"/>
    <x v="3"/>
    <x v="2"/>
    <x v="3"/>
    <x v="0"/>
    <x v="0"/>
    <x v="2"/>
    <x v="10"/>
    <n v="0"/>
    <n v="0"/>
    <n v="15.904"/>
    <n v="15.904"/>
    <n v="15.904"/>
    <n v="15.904"/>
    <n v="66"/>
    <x v="0"/>
    <n v="0"/>
    <n v="0"/>
    <n v="36"/>
    <n v="78"/>
    <n v="0"/>
    <n v="225.21"/>
    <n v="111.45"/>
    <m/>
    <n v="263.1339241582042"/>
    <n v="100.05809889521676"/>
    <n v="0"/>
    <n v="3581.7398400000002"/>
    <n v="1772.5008"/>
    <n v="0"/>
    <n v="4184.8819298120798"/>
    <n v="1591.3240048295272"/>
  </r>
  <r>
    <s v="Regular"/>
    <x v="1"/>
    <x v="3"/>
    <x v="2"/>
    <x v="3"/>
    <x v="0"/>
    <x v="0"/>
    <x v="2"/>
    <x v="11"/>
    <n v="0"/>
    <n v="0"/>
    <n v="13.456"/>
    <n v="13.456"/>
    <n v="13.456"/>
    <n v="13.456"/>
    <n v="33"/>
    <x v="0"/>
    <n v="0"/>
    <n v="0"/>
    <n v="36"/>
    <n v="78"/>
    <n v="0"/>
    <n v="225.21"/>
    <n v="111.45"/>
    <m/>
    <n v="263.1339241582042"/>
    <n v="100.05809889521676"/>
    <n v="0"/>
    <n v="3030.4257600000001"/>
    <n v="1499.6712"/>
    <n v="0"/>
    <n v="3540.7300834727957"/>
    <n v="1346.3817787340367"/>
  </r>
  <r>
    <s v="Regular"/>
    <x v="1"/>
    <x v="3"/>
    <x v="2"/>
    <x v="4"/>
    <x v="0"/>
    <x v="0"/>
    <x v="2"/>
    <x v="0"/>
    <n v="0"/>
    <n v="0"/>
    <n v="11.212"/>
    <n v="11.212"/>
    <n v="11.212"/>
    <n v="11.212"/>
    <n v="114"/>
    <x v="0"/>
    <n v="0"/>
    <n v="0"/>
    <n v="38"/>
    <n v="79"/>
    <n v="0"/>
    <n v="337.82"/>
    <n v="167.17"/>
    <m/>
    <n v="394.70088623730635"/>
    <n v="150.08714834282515"/>
    <n v="0"/>
    <n v="3787.6378399999999"/>
    <n v="1874.3100399999998"/>
    <n v="0"/>
    <n v="4425.3863364926783"/>
    <n v="1682.7771072197554"/>
  </r>
  <r>
    <s v="Regular"/>
    <x v="1"/>
    <x v="3"/>
    <x v="2"/>
    <x v="4"/>
    <x v="0"/>
    <x v="0"/>
    <x v="2"/>
    <x v="1"/>
    <n v="0"/>
    <n v="0"/>
    <n v="11.162000000000001"/>
    <n v="11.162000000000001"/>
    <n v="11.162000000000001"/>
    <n v="11.162000000000001"/>
    <n v="109"/>
    <x v="0"/>
    <n v="0"/>
    <n v="0"/>
    <n v="38"/>
    <n v="79"/>
    <n v="0"/>
    <n v="337.82"/>
    <n v="167.17"/>
    <m/>
    <n v="394.70088623730635"/>
    <n v="150.08714834282515"/>
    <n v="0"/>
    <n v="3770.7468400000002"/>
    <n v="1865.95154"/>
    <n v="0"/>
    <n v="4405.6512921808135"/>
    <n v="1675.2727498026145"/>
  </r>
  <r>
    <s v="Regular"/>
    <x v="1"/>
    <x v="3"/>
    <x v="2"/>
    <x v="4"/>
    <x v="0"/>
    <x v="0"/>
    <x v="2"/>
    <x v="2"/>
    <n v="0"/>
    <n v="0"/>
    <n v="10.247999999999999"/>
    <n v="10.247999999999999"/>
    <n v="10.247999999999999"/>
    <n v="10.247999999999999"/>
    <n v="106"/>
    <x v="0"/>
    <n v="0"/>
    <n v="0"/>
    <n v="38"/>
    <n v="79"/>
    <n v="0"/>
    <n v="337.82"/>
    <n v="167.17"/>
    <m/>
    <n v="394.70088623730635"/>
    <n v="150.08714834282515"/>
    <n v="0"/>
    <n v="3461.9793599999998"/>
    <n v="1713.1581599999997"/>
    <n v="0"/>
    <n v="4044.8946821599152"/>
    <n v="1538.093096217272"/>
  </r>
  <r>
    <s v="Refaturamento - Regular"/>
    <x v="1"/>
    <x v="3"/>
    <x v="2"/>
    <x v="4"/>
    <x v="0"/>
    <x v="0"/>
    <x v="2"/>
    <x v="2"/>
    <n v="0"/>
    <n v="0"/>
    <n v="4.7E-2"/>
    <n v="4.7E-2"/>
    <n v="4.7E-2"/>
    <n v="4.7E-2"/>
    <n v="0"/>
    <x v="0"/>
    <n v="0"/>
    <n v="0"/>
    <n v="38"/>
    <n v="79"/>
    <n v="0"/>
    <n v="337.82"/>
    <n v="167.17"/>
    <m/>
    <n v="394.70088623730635"/>
    <n v="150.08714834282515"/>
    <n v="0"/>
    <n v="15.87754"/>
    <n v="7.8569899999999997"/>
    <n v="0"/>
    <n v="18.550941653153398"/>
    <n v="7.0540959721127816"/>
  </r>
  <r>
    <s v="Regular"/>
    <x v="1"/>
    <x v="3"/>
    <x v="2"/>
    <x v="4"/>
    <x v="0"/>
    <x v="0"/>
    <x v="2"/>
    <x v="3"/>
    <n v="0"/>
    <n v="0"/>
    <n v="11.436999999999999"/>
    <n v="11.436999999999999"/>
    <n v="11.436999999999999"/>
    <n v="11.436999999999999"/>
    <n v="111"/>
    <x v="0"/>
    <n v="0"/>
    <n v="0"/>
    <n v="38"/>
    <n v="79"/>
    <n v="0"/>
    <n v="337.82"/>
    <n v="167.17"/>
    <m/>
    <n v="394.70088623730635"/>
    <n v="150.08714834282515"/>
    <n v="0"/>
    <n v="3863.6473399999995"/>
    <n v="1911.9232899999997"/>
    <n v="0"/>
    <n v="4514.1940358960728"/>
    <n v="1716.5467155968911"/>
  </r>
  <r>
    <s v="Regular"/>
    <x v="1"/>
    <x v="3"/>
    <x v="2"/>
    <x v="4"/>
    <x v="0"/>
    <x v="0"/>
    <x v="2"/>
    <x v="4"/>
    <n v="0"/>
    <n v="0"/>
    <n v="13.813000000000001"/>
    <n v="13.813000000000001"/>
    <n v="13.813000000000001"/>
    <n v="13.813000000000001"/>
    <n v="92"/>
    <x v="0"/>
    <n v="0"/>
    <n v="0"/>
    <n v="38"/>
    <n v="79"/>
    <n v="0"/>
    <n v="337.82"/>
    <n v="167.17"/>
    <m/>
    <n v="394.70088623730635"/>
    <n v="150.08714834282515"/>
    <n v="0"/>
    <n v="4666.3076600000004"/>
    <n v="2309.1192099999998"/>
    <n v="0"/>
    <n v="5452.0033415959133"/>
    <n v="2073.1537800594438"/>
  </r>
  <r>
    <s v="Regular"/>
    <x v="1"/>
    <x v="3"/>
    <x v="2"/>
    <x v="4"/>
    <x v="0"/>
    <x v="0"/>
    <x v="2"/>
    <x v="5"/>
    <n v="0"/>
    <n v="0"/>
    <n v="14.574"/>
    <n v="14.574"/>
    <n v="14.574"/>
    <n v="14.574"/>
    <n v="84"/>
    <x v="0"/>
    <n v="0"/>
    <n v="0"/>
    <n v="38"/>
    <n v="79"/>
    <n v="0"/>
    <n v="337.82"/>
    <n v="167.17"/>
    <m/>
    <n v="394.70088623730635"/>
    <n v="150.08714834282515"/>
    <n v="0"/>
    <n v="4923.38868"/>
    <n v="2436.3355799999999"/>
    <n v="0"/>
    <n v="5752.3707160225031"/>
    <n v="2187.3700999483335"/>
  </r>
  <r>
    <s v="Regular"/>
    <x v="1"/>
    <x v="3"/>
    <x v="2"/>
    <x v="4"/>
    <x v="0"/>
    <x v="0"/>
    <x v="2"/>
    <x v="6"/>
    <n v="0"/>
    <n v="0"/>
    <n v="15.63"/>
    <n v="15.63"/>
    <n v="15.63"/>
    <n v="15.63"/>
    <n v="99"/>
    <x v="0"/>
    <n v="0"/>
    <n v="0"/>
    <n v="38"/>
    <n v="79"/>
    <n v="0"/>
    <n v="337.82"/>
    <n v="167.17"/>
    <m/>
    <n v="394.70088623730635"/>
    <n v="150.08714834282515"/>
    <n v="0"/>
    <n v="5280.1266000000005"/>
    <n v="2612.8670999999999"/>
    <n v="0"/>
    <n v="6169.1748518890981"/>
    <n v="2345.8621285983572"/>
  </r>
  <r>
    <s v="Regular"/>
    <x v="1"/>
    <x v="3"/>
    <x v="2"/>
    <x v="4"/>
    <x v="0"/>
    <x v="0"/>
    <x v="2"/>
    <x v="7"/>
    <n v="0"/>
    <n v="0"/>
    <n v="25.216000000000001"/>
    <n v="25.216000000000001"/>
    <n v="25.216000000000001"/>
    <n v="25.216000000000001"/>
    <n v="172"/>
    <x v="0"/>
    <n v="0"/>
    <n v="0"/>
    <n v="38"/>
    <n v="79"/>
    <n v="0"/>
    <n v="337.82"/>
    <n v="167.17"/>
    <m/>
    <n v="394.70088623730635"/>
    <n v="150.08714834282515"/>
    <n v="0"/>
    <n v="8518.4691199999997"/>
    <n v="4215.3587200000002"/>
    <n v="0"/>
    <n v="9952.7775473599177"/>
    <n v="3784.5975326126791"/>
  </r>
  <r>
    <s v="Refaturamento - Regular"/>
    <x v="1"/>
    <x v="3"/>
    <x v="2"/>
    <x v="4"/>
    <x v="0"/>
    <x v="0"/>
    <x v="2"/>
    <x v="7"/>
    <n v="0"/>
    <n v="0"/>
    <n v="-0.05"/>
    <n v="-0.05"/>
    <n v="-0.05"/>
    <n v="-0.05"/>
    <n v="0"/>
    <x v="0"/>
    <n v="0"/>
    <n v="0"/>
    <n v="38"/>
    <n v="79"/>
    <n v="0"/>
    <n v="337.82"/>
    <n v="167.17"/>
    <m/>
    <n v="394.70088623730635"/>
    <n v="150.08714834282515"/>
    <n v="0"/>
    <n v="-16.891000000000002"/>
    <n v="-8.3584999999999994"/>
    <n v="0"/>
    <n v="-19.73504431186532"/>
    <n v="-7.5043574171412573"/>
  </r>
  <r>
    <s v="Regular"/>
    <x v="1"/>
    <x v="3"/>
    <x v="2"/>
    <x v="4"/>
    <x v="0"/>
    <x v="0"/>
    <x v="2"/>
    <x v="8"/>
    <n v="0"/>
    <n v="0"/>
    <n v="15.872"/>
    <n v="15.872"/>
    <n v="15.872"/>
    <n v="15.872"/>
    <n v="135"/>
    <x v="0"/>
    <n v="0"/>
    <n v="0"/>
    <n v="38"/>
    <n v="79"/>
    <n v="0"/>
    <n v="337.82"/>
    <n v="167.17"/>
    <m/>
    <n v="394.70088623730635"/>
    <n v="150.08714834282515"/>
    <n v="0"/>
    <n v="5361.8790399999998"/>
    <n v="2653.32224"/>
    <n v="0"/>
    <n v="6264.692466358526"/>
    <n v="2382.1832184973205"/>
  </r>
  <r>
    <s v="Sistema de Compensação"/>
    <x v="1"/>
    <x v="3"/>
    <x v="2"/>
    <x v="4"/>
    <x v="0"/>
    <x v="0"/>
    <x v="2"/>
    <x v="8"/>
    <n v="0"/>
    <n v="0"/>
    <n v="3.4000000000000002E-2"/>
    <n v="2.3800000000000002E-2"/>
    <n v="3.4000000000000002E-2"/>
    <n v="2.3800000000000002E-2"/>
    <n v="0"/>
    <x v="0"/>
    <n v="0"/>
    <n v="0"/>
    <n v="38"/>
    <n v="79"/>
    <n v="0"/>
    <n v="337.82"/>
    <n v="167.17"/>
    <m/>
    <n v="394.70088623730635"/>
    <n v="150.08714834282515"/>
    <n v="0"/>
    <n v="8.0401160000000012"/>
    <n v="3.9786459999999999"/>
    <n v="0"/>
    <n v="9.3938810924478915"/>
    <n v="3.5720741305592387"/>
  </r>
  <r>
    <s v="Regular"/>
    <x v="1"/>
    <x v="3"/>
    <x v="2"/>
    <x v="4"/>
    <x v="0"/>
    <x v="0"/>
    <x v="2"/>
    <x v="9"/>
    <n v="0"/>
    <n v="0"/>
    <n v="17.007999999999999"/>
    <n v="17.007999999999999"/>
    <n v="17.007999999999999"/>
    <n v="17.007999999999999"/>
    <n v="129"/>
    <x v="0"/>
    <n v="0"/>
    <n v="0"/>
    <n v="38"/>
    <n v="79"/>
    <n v="0"/>
    <n v="337.82"/>
    <n v="167.17"/>
    <m/>
    <n v="394.70088623730635"/>
    <n v="150.08714834282515"/>
    <n v="0"/>
    <n v="5745.6425599999993"/>
    <n v="2843.2273599999999"/>
    <n v="0"/>
    <n v="6713.0726731241057"/>
    <n v="2552.68221901477"/>
  </r>
  <r>
    <s v="Regular"/>
    <x v="1"/>
    <x v="3"/>
    <x v="2"/>
    <x v="4"/>
    <x v="0"/>
    <x v="0"/>
    <x v="2"/>
    <x v="10"/>
    <n v="0"/>
    <n v="0"/>
    <n v="13.869"/>
    <n v="13.869"/>
    <n v="13.869"/>
    <n v="13.869"/>
    <n v="138"/>
    <x v="0"/>
    <n v="0"/>
    <n v="0"/>
    <n v="38"/>
    <n v="79"/>
    <n v="0"/>
    <n v="337.82"/>
    <n v="167.17"/>
    <m/>
    <n v="394.70088623730635"/>
    <n v="150.08714834282515"/>
    <n v="0"/>
    <n v="4685.2255800000003"/>
    <n v="2318.4807299999998"/>
    <n v="0"/>
    <n v="5474.1065912252016"/>
    <n v="2081.558660366642"/>
  </r>
  <r>
    <s v="Regular"/>
    <x v="1"/>
    <x v="3"/>
    <x v="2"/>
    <x v="4"/>
    <x v="0"/>
    <x v="0"/>
    <x v="2"/>
    <x v="11"/>
    <n v="0"/>
    <n v="0"/>
    <n v="14.058999999999999"/>
    <n v="14.058999999999999"/>
    <n v="14.058999999999999"/>
    <n v="14.058999999999999"/>
    <n v="108"/>
    <x v="0"/>
    <n v="0"/>
    <n v="0"/>
    <n v="38"/>
    <n v="79"/>
    <n v="0"/>
    <n v="337.82"/>
    <n v="167.17"/>
    <m/>
    <n v="394.70088623730635"/>
    <n v="150.08714834282515"/>
    <n v="0"/>
    <n v="4749.4113799999996"/>
    <n v="2350.2430299999996"/>
    <n v="0"/>
    <n v="5549.0997596102898"/>
    <n v="2110.0752185517786"/>
  </r>
  <r>
    <s v="Regular"/>
    <x v="1"/>
    <x v="3"/>
    <x v="2"/>
    <x v="5"/>
    <x v="0"/>
    <x v="0"/>
    <x v="2"/>
    <x v="0"/>
    <n v="0"/>
    <n v="0"/>
    <n v="2.7719999999999998"/>
    <n v="2.7719999999999998"/>
    <n v="2.7719999999999998"/>
    <n v="2.7719999999999998"/>
    <n v="38"/>
    <x v="0"/>
    <n v="0"/>
    <n v="0"/>
    <n v="40"/>
    <n v="80"/>
    <n v="0"/>
    <n v="375.35"/>
    <n v="185.74"/>
    <m/>
    <n v="438.5565402636737"/>
    <n v="166.7634981586946"/>
    <n v="0"/>
    <n v="1040.4702"/>
    <n v="514.87127999999996"/>
    <n v="0"/>
    <n v="1215.6787296109035"/>
    <n v="462.2684168959014"/>
  </r>
  <r>
    <s v="Regular"/>
    <x v="1"/>
    <x v="3"/>
    <x v="2"/>
    <x v="5"/>
    <x v="0"/>
    <x v="0"/>
    <x v="2"/>
    <x v="1"/>
    <n v="0"/>
    <n v="0"/>
    <n v="2.9910000000000001"/>
    <n v="2.9910000000000001"/>
    <n v="2.9910000000000001"/>
    <n v="2.9910000000000001"/>
    <n v="40"/>
    <x v="0"/>
    <n v="0"/>
    <n v="0"/>
    <n v="40"/>
    <n v="80"/>
    <n v="0"/>
    <n v="375.35"/>
    <n v="185.74"/>
    <m/>
    <n v="438.5565402636737"/>
    <n v="166.7634981586946"/>
    <n v="0"/>
    <n v="1122.6718500000002"/>
    <n v="555.54834000000005"/>
    <n v="0"/>
    <n v="1311.7226119286481"/>
    <n v="498.78962299265555"/>
  </r>
  <r>
    <s v="Regular"/>
    <x v="1"/>
    <x v="3"/>
    <x v="2"/>
    <x v="5"/>
    <x v="0"/>
    <x v="0"/>
    <x v="2"/>
    <x v="2"/>
    <n v="0"/>
    <n v="0"/>
    <n v="2.5720000000000001"/>
    <n v="2.5720000000000001"/>
    <n v="2.5720000000000001"/>
    <n v="2.5720000000000001"/>
    <n v="36"/>
    <x v="0"/>
    <n v="0"/>
    <n v="0"/>
    <n v="40"/>
    <n v="80"/>
    <n v="0"/>
    <n v="375.35"/>
    <n v="185.74"/>
    <m/>
    <n v="438.5565402636737"/>
    <n v="166.7634981586946"/>
    <n v="0"/>
    <n v="965.40020000000004"/>
    <n v="477.72328000000005"/>
    <n v="0"/>
    <n v="1127.9674215581688"/>
    <n v="428.91571726416254"/>
  </r>
  <r>
    <s v="Refaturamento - Regular"/>
    <x v="1"/>
    <x v="3"/>
    <x v="2"/>
    <x v="5"/>
    <x v="0"/>
    <x v="0"/>
    <x v="2"/>
    <x v="2"/>
    <n v="0"/>
    <n v="0"/>
    <n v="0.01"/>
    <n v="0.01"/>
    <n v="0.01"/>
    <n v="0.01"/>
    <n v="0"/>
    <x v="0"/>
    <n v="0"/>
    <n v="0"/>
    <n v="40"/>
    <n v="80"/>
    <n v="0"/>
    <n v="375.35"/>
    <n v="185.74"/>
    <m/>
    <n v="438.5565402636737"/>
    <n v="166.7634981586946"/>
    <n v="0"/>
    <n v="3.7535000000000003"/>
    <n v="1.8574000000000002"/>
    <n v="0"/>
    <n v="4.385565402636737"/>
    <n v="1.667634981586946"/>
  </r>
  <r>
    <s v="Regular"/>
    <x v="1"/>
    <x v="3"/>
    <x v="2"/>
    <x v="5"/>
    <x v="0"/>
    <x v="0"/>
    <x v="2"/>
    <x v="3"/>
    <n v="0"/>
    <n v="0"/>
    <n v="2.5059999999999998"/>
    <n v="2.5059999999999998"/>
    <n v="2.5059999999999998"/>
    <n v="2.5059999999999998"/>
    <n v="43"/>
    <x v="0"/>
    <n v="0"/>
    <n v="0"/>
    <n v="40"/>
    <n v="80"/>
    <n v="0"/>
    <n v="375.35"/>
    <n v="185.74"/>
    <m/>
    <n v="438.5565402636737"/>
    <n v="166.7634981586946"/>
    <n v="0"/>
    <n v="940.62709999999993"/>
    <n v="465.46443999999997"/>
    <n v="0"/>
    <n v="1099.0226899007662"/>
    <n v="417.90932638568864"/>
  </r>
  <r>
    <s v="Regular"/>
    <x v="1"/>
    <x v="3"/>
    <x v="2"/>
    <x v="5"/>
    <x v="0"/>
    <x v="0"/>
    <x v="2"/>
    <x v="4"/>
    <n v="0"/>
    <n v="0"/>
    <n v="5.2519999999999998"/>
    <n v="5.2519999999999998"/>
    <n v="5.2519999999999998"/>
    <n v="5.2519999999999998"/>
    <n v="67"/>
    <x v="0"/>
    <n v="0"/>
    <n v="0"/>
    <n v="40"/>
    <n v="80"/>
    <n v="0"/>
    <n v="375.35"/>
    <n v="185.74"/>
    <m/>
    <n v="438.5565402636737"/>
    <n v="166.7634981586946"/>
    <n v="0"/>
    <n v="1971.3382000000001"/>
    <n v="975.50648000000001"/>
    <n v="0"/>
    <n v="2303.2989494648141"/>
    <n v="875.84189232946403"/>
  </r>
  <r>
    <s v="Regular"/>
    <x v="1"/>
    <x v="3"/>
    <x v="2"/>
    <x v="5"/>
    <x v="0"/>
    <x v="0"/>
    <x v="2"/>
    <x v="5"/>
    <n v="0"/>
    <n v="0"/>
    <n v="7.7409999999999997"/>
    <n v="7.7409999999999997"/>
    <n v="7.7409999999999997"/>
    <n v="7.7409999999999997"/>
    <n v="84"/>
    <x v="0"/>
    <n v="0"/>
    <n v="0"/>
    <n v="40"/>
    <n v="80"/>
    <n v="0"/>
    <n v="375.35"/>
    <n v="185.74"/>
    <m/>
    <n v="438.5565402636737"/>
    <n v="166.7634981586946"/>
    <n v="0"/>
    <n v="2905.5843500000001"/>
    <n v="1437.8133399999999"/>
    <n v="0"/>
    <n v="3394.8661781810979"/>
    <n v="1290.9162392464548"/>
  </r>
  <r>
    <s v="Regular"/>
    <x v="1"/>
    <x v="3"/>
    <x v="2"/>
    <x v="5"/>
    <x v="0"/>
    <x v="0"/>
    <x v="2"/>
    <x v="6"/>
    <n v="0"/>
    <n v="0"/>
    <n v="8.2520000000000007"/>
    <n v="8.2520000000000007"/>
    <n v="8.2520000000000007"/>
    <n v="8.2520000000000007"/>
    <n v="83"/>
    <x v="0"/>
    <n v="0"/>
    <n v="0"/>
    <n v="40"/>
    <n v="80"/>
    <n v="0"/>
    <n v="375.35"/>
    <n v="185.74"/>
    <m/>
    <n v="438.5565402636737"/>
    <n v="166.7634981586946"/>
    <n v="0"/>
    <n v="3097.3882000000003"/>
    <n v="1532.7264800000003"/>
    <n v="0"/>
    <n v="3618.9685702558359"/>
    <n v="1376.1323868055479"/>
  </r>
  <r>
    <s v="Regular"/>
    <x v="1"/>
    <x v="3"/>
    <x v="2"/>
    <x v="5"/>
    <x v="0"/>
    <x v="0"/>
    <x v="2"/>
    <x v="7"/>
    <n v="0"/>
    <n v="0"/>
    <n v="11.680999999999999"/>
    <n v="11.680999999999999"/>
    <n v="11.680999999999999"/>
    <n v="11.680999999999999"/>
    <n v="122"/>
    <x v="0"/>
    <n v="0"/>
    <n v="0"/>
    <n v="40"/>
    <n v="80"/>
    <n v="0"/>
    <n v="375.35"/>
    <n v="185.74"/>
    <m/>
    <n v="438.5565402636737"/>
    <n v="166.7634981586946"/>
    <n v="0"/>
    <n v="4384.46335"/>
    <n v="2169.6289400000001"/>
    <n v="0"/>
    <n v="5122.7789468199717"/>
    <n v="1947.9644219917116"/>
  </r>
  <r>
    <s v="Regular"/>
    <x v="1"/>
    <x v="3"/>
    <x v="2"/>
    <x v="5"/>
    <x v="0"/>
    <x v="0"/>
    <x v="2"/>
    <x v="8"/>
    <n v="0"/>
    <n v="0"/>
    <n v="7.53"/>
    <n v="7.53"/>
    <n v="7.53"/>
    <n v="7.53"/>
    <n v="72"/>
    <x v="0"/>
    <n v="0"/>
    <n v="0"/>
    <n v="40"/>
    <n v="80"/>
    <n v="0"/>
    <n v="375.35"/>
    <n v="185.74"/>
    <m/>
    <n v="438.5565402636737"/>
    <n v="166.7634981586946"/>
    <n v="0"/>
    <n v="2826.3855000000003"/>
    <n v="1398.6222"/>
    <n v="0"/>
    <n v="3302.3307481854631"/>
    <n v="1255.7291411349704"/>
  </r>
  <r>
    <s v="Regular"/>
    <x v="1"/>
    <x v="3"/>
    <x v="2"/>
    <x v="5"/>
    <x v="0"/>
    <x v="0"/>
    <x v="2"/>
    <x v="9"/>
    <n v="0"/>
    <n v="0"/>
    <n v="8.8190000000000008"/>
    <n v="8.8190000000000008"/>
    <n v="8.8190000000000008"/>
    <n v="8.8190000000000008"/>
    <n v="77"/>
    <x v="0"/>
    <n v="0"/>
    <n v="0"/>
    <n v="40"/>
    <n v="80"/>
    <n v="0"/>
    <n v="375.35"/>
    <n v="185.74"/>
    <m/>
    <n v="438.5565402636737"/>
    <n v="166.7634981586946"/>
    <n v="0"/>
    <n v="3310.2116500000006"/>
    <n v="1638.0410600000002"/>
    <n v="0"/>
    <n v="3867.6301285853388"/>
    <n v="1470.6872902615278"/>
  </r>
  <r>
    <s v="Regular"/>
    <x v="1"/>
    <x v="3"/>
    <x v="2"/>
    <x v="5"/>
    <x v="0"/>
    <x v="0"/>
    <x v="2"/>
    <x v="10"/>
    <n v="0"/>
    <n v="0"/>
    <n v="5.0469999999999997"/>
    <n v="5.0469999999999997"/>
    <n v="5.0469999999999997"/>
    <n v="5.0469999999999997"/>
    <n v="53"/>
    <x v="0"/>
    <n v="0"/>
    <n v="0"/>
    <n v="40"/>
    <n v="80"/>
    <n v="0"/>
    <n v="375.35"/>
    <n v="185.74"/>
    <m/>
    <n v="438.5565402636737"/>
    <n v="166.7634981586946"/>
    <n v="0"/>
    <n v="1894.3914500000001"/>
    <n v="937.42977999999994"/>
    <n v="0"/>
    <n v="2213.3948587107611"/>
    <n v="841.65537520693158"/>
  </r>
  <r>
    <s v="Regular"/>
    <x v="1"/>
    <x v="3"/>
    <x v="2"/>
    <x v="5"/>
    <x v="0"/>
    <x v="0"/>
    <x v="2"/>
    <x v="11"/>
    <n v="0"/>
    <n v="0"/>
    <n v="6.5069999999999997"/>
    <n v="6.5069999999999997"/>
    <n v="6.5069999999999997"/>
    <n v="6.5069999999999997"/>
    <n v="65"/>
    <x v="0"/>
    <n v="0"/>
    <n v="0"/>
    <n v="40"/>
    <n v="80"/>
    <n v="0"/>
    <n v="375.35"/>
    <n v="185.74"/>
    <m/>
    <n v="438.5565402636737"/>
    <n v="166.7634981586946"/>
    <n v="0"/>
    <n v="2442.40245"/>
    <n v="1208.6101799999999"/>
    <n v="0"/>
    <n v="2853.6874074957245"/>
    <n v="1085.1300825186256"/>
  </r>
  <r>
    <s v="Regular"/>
    <x v="2"/>
    <x v="3"/>
    <x v="3"/>
    <x v="0"/>
    <x v="0"/>
    <x v="0"/>
    <x v="2"/>
    <x v="0"/>
    <n v="0"/>
    <n v="0"/>
    <n v="1415.9390000000001"/>
    <n v="1415.9390000000001"/>
    <n v="1415.9390000000001"/>
    <n v="1415.9390000000001"/>
    <n v="5752"/>
    <x v="0"/>
    <n v="0"/>
    <n v="0"/>
    <n v="52"/>
    <n v="9"/>
    <n v="0"/>
    <n v="389.81"/>
    <n v="163.44999999999999"/>
    <m/>
    <n v="512.16294496076114"/>
    <n v="156.75768826917292"/>
    <n v="0"/>
    <n v="551947.18159000005"/>
    <n v="231435.22954999999"/>
    <n v="0"/>
    <n v="725191.48812479526"/>
    <n v="221959.32437016445"/>
  </r>
  <r>
    <s v="Refaturamento - Regular"/>
    <x v="2"/>
    <x v="3"/>
    <x v="3"/>
    <x v="0"/>
    <x v="0"/>
    <x v="0"/>
    <x v="2"/>
    <x v="0"/>
    <n v="0"/>
    <n v="0"/>
    <n v="0.70099999999999996"/>
    <n v="0.70099999999999996"/>
    <n v="0.70099999999999996"/>
    <n v="0.70099999999999996"/>
    <n v="0"/>
    <x v="0"/>
    <n v="0"/>
    <n v="0"/>
    <n v="52"/>
    <n v="9"/>
    <n v="0"/>
    <n v="389.81"/>
    <n v="163.44999999999999"/>
    <m/>
    <n v="512.16294496076114"/>
    <n v="156.75768826917292"/>
    <n v="0"/>
    <n v="273.25680999999997"/>
    <n v="114.57844999999999"/>
    <n v="0"/>
    <n v="359.02622441749355"/>
    <n v="109.88713947669021"/>
  </r>
  <r>
    <s v="Sistema de Compensação"/>
    <x v="2"/>
    <x v="3"/>
    <x v="3"/>
    <x v="0"/>
    <x v="0"/>
    <x v="0"/>
    <x v="2"/>
    <x v="0"/>
    <n v="0"/>
    <n v="0"/>
    <n v="16.902999999999999"/>
    <n v="16.902999999999999"/>
    <n v="16.902999999999999"/>
    <n v="16.902999999999999"/>
    <n v="85"/>
    <x v="0"/>
    <n v="0"/>
    <n v="0"/>
    <n v="52"/>
    <n v="9"/>
    <n v="0"/>
    <n v="389.81"/>
    <n v="163.44999999999999"/>
    <m/>
    <n v="512.16294496076114"/>
    <n v="156.75768826917292"/>
    <n v="0"/>
    <n v="6588.9584299999997"/>
    <n v="2762.7953499999994"/>
    <n v="0"/>
    <n v="8657.0902586717457"/>
    <n v="2649.6752048138296"/>
  </r>
  <r>
    <s v="Sistema de Compensação"/>
    <x v="2"/>
    <x v="3"/>
    <x v="3"/>
    <x v="0"/>
    <x v="0"/>
    <x v="0"/>
    <x v="2"/>
    <x v="0"/>
    <n v="0"/>
    <n v="0"/>
    <n v="-7.5999999999999998E-2"/>
    <n v="-7.5999999999999998E-2"/>
    <n v="-7.5999999999999998E-2"/>
    <n v="-7.5999999999999998E-2"/>
    <n v="1"/>
    <x v="0"/>
    <n v="0"/>
    <n v="0"/>
    <n v="52"/>
    <n v="9"/>
    <n v="0"/>
    <n v="389.81"/>
    <n v="163.44999999999999"/>
    <m/>
    <n v="512.16294496076114"/>
    <n v="156.75768826917292"/>
    <n v="0"/>
    <n v="-29.62556"/>
    <n v="-12.422199999999998"/>
    <n v="0"/>
    <n v="-38.924383817017848"/>
    <n v="-11.913584308457141"/>
  </r>
  <r>
    <s v="Regular"/>
    <x v="2"/>
    <x v="3"/>
    <x v="3"/>
    <x v="0"/>
    <x v="0"/>
    <x v="0"/>
    <x v="2"/>
    <x v="1"/>
    <n v="0"/>
    <n v="0"/>
    <n v="1479.7449999999999"/>
    <n v="1479.7449999999999"/>
    <n v="1479.7449999999999"/>
    <n v="1479.7449999999999"/>
    <n v="5740"/>
    <x v="0"/>
    <n v="0"/>
    <n v="0"/>
    <n v="52"/>
    <n v="9"/>
    <n v="0"/>
    <n v="389.81"/>
    <n v="163.44999999999999"/>
    <m/>
    <n v="512.16294496076114"/>
    <n v="156.75768826917292"/>
    <n v="0"/>
    <n v="576819.39844999998"/>
    <n v="241864.32024999996"/>
    <n v="0"/>
    <n v="757870.55699096143"/>
    <n v="231961.40542786726"/>
  </r>
  <r>
    <s v="Refaturamento - Regular"/>
    <x v="2"/>
    <x v="3"/>
    <x v="3"/>
    <x v="0"/>
    <x v="0"/>
    <x v="0"/>
    <x v="2"/>
    <x v="1"/>
    <n v="0"/>
    <n v="0"/>
    <n v="-4.7249999999999996"/>
    <n v="-4.7249999999999996"/>
    <n v="-4.7249999999999996"/>
    <n v="-4.7249999999999996"/>
    <n v="0"/>
    <x v="0"/>
    <n v="0"/>
    <n v="0"/>
    <n v="52"/>
    <n v="9"/>
    <n v="0"/>
    <n v="389.81"/>
    <n v="163.44999999999999"/>
    <m/>
    <n v="512.16294496076114"/>
    <n v="156.75768826917292"/>
    <n v="0"/>
    <n v="-1841.8522499999999"/>
    <n v="-772.30124999999987"/>
    <n v="0"/>
    <n v="-2419.969914939596"/>
    <n v="-740.68007707184199"/>
  </r>
  <r>
    <s v="Sistema de Compensação"/>
    <x v="2"/>
    <x v="3"/>
    <x v="3"/>
    <x v="0"/>
    <x v="0"/>
    <x v="0"/>
    <x v="2"/>
    <x v="1"/>
    <n v="0"/>
    <n v="0"/>
    <n v="20.302"/>
    <n v="20.302"/>
    <n v="20.302"/>
    <n v="20.302"/>
    <n v="89"/>
    <x v="0"/>
    <n v="0"/>
    <n v="0"/>
    <n v="52"/>
    <n v="9"/>
    <n v="0"/>
    <n v="389.81"/>
    <n v="163.44999999999999"/>
    <m/>
    <n v="512.16294496076114"/>
    <n v="156.75768826917292"/>
    <n v="0"/>
    <n v="7913.9226200000003"/>
    <n v="3318.3618999999999"/>
    <n v="0"/>
    <n v="10397.932108593372"/>
    <n v="3182.4945872407484"/>
  </r>
  <r>
    <s v="Regular"/>
    <x v="2"/>
    <x v="3"/>
    <x v="3"/>
    <x v="0"/>
    <x v="0"/>
    <x v="0"/>
    <x v="2"/>
    <x v="2"/>
    <n v="0"/>
    <n v="0"/>
    <n v="1591.5719999999999"/>
    <n v="1591.5719999999999"/>
    <n v="1591.5719999999999"/>
    <n v="1591.5719999999999"/>
    <n v="5726"/>
    <x v="0"/>
    <n v="0"/>
    <n v="0"/>
    <n v="52"/>
    <n v="9"/>
    <n v="0"/>
    <n v="389.81"/>
    <n v="163.44999999999999"/>
    <m/>
    <n v="512.16294496076114"/>
    <n v="156.75768826917292"/>
    <n v="0"/>
    <n v="620410.68131999997"/>
    <n v="260142.44339999996"/>
    <n v="0"/>
    <n v="815144.20263708849"/>
    <n v="249491.14743394405"/>
  </r>
  <r>
    <s v="Refaturamento - Regular"/>
    <x v="2"/>
    <x v="3"/>
    <x v="3"/>
    <x v="0"/>
    <x v="0"/>
    <x v="0"/>
    <x v="2"/>
    <x v="2"/>
    <n v="0"/>
    <n v="0"/>
    <n v="-4.9260000000000002"/>
    <n v="-4.9260000000000002"/>
    <n v="-4.9260000000000002"/>
    <n v="-4.9260000000000002"/>
    <n v="0"/>
    <x v="0"/>
    <n v="0"/>
    <n v="0"/>
    <n v="52"/>
    <n v="9"/>
    <n v="0"/>
    <n v="389.81"/>
    <n v="163.44999999999999"/>
    <m/>
    <n v="512.16294496076114"/>
    <n v="156.75768826917292"/>
    <n v="0"/>
    <n v="-1920.20406"/>
    <n v="-805.15469999999993"/>
    <n v="0"/>
    <n v="-2522.9146668767094"/>
    <n v="-772.18837241394579"/>
  </r>
  <r>
    <s v="Sistema de Compensação"/>
    <x v="2"/>
    <x v="3"/>
    <x v="3"/>
    <x v="0"/>
    <x v="0"/>
    <x v="0"/>
    <x v="2"/>
    <x v="2"/>
    <n v="0"/>
    <n v="0"/>
    <n v="19.436"/>
    <n v="19.436"/>
    <n v="19.436"/>
    <n v="19.436"/>
    <n v="105"/>
    <x v="0"/>
    <n v="0"/>
    <n v="0"/>
    <n v="52"/>
    <n v="9"/>
    <n v="0"/>
    <n v="389.81"/>
    <n v="163.44999999999999"/>
    <m/>
    <n v="512.16294496076114"/>
    <n v="156.75768826917292"/>
    <n v="0"/>
    <n v="7576.3471600000003"/>
    <n v="3176.8141999999998"/>
    <n v="0"/>
    <n v="9954.398998257353"/>
    <n v="3046.7424291996449"/>
  </r>
  <r>
    <s v="Sistema de Compensação"/>
    <x v="2"/>
    <x v="3"/>
    <x v="3"/>
    <x v="0"/>
    <x v="0"/>
    <x v="0"/>
    <x v="2"/>
    <x v="2"/>
    <n v="0"/>
    <n v="0"/>
    <n v="-1.0269999999999999"/>
    <n v="-1.0269999999999999"/>
    <n v="-1.0269999999999999"/>
    <n v="-1.0269999999999999"/>
    <n v="2"/>
    <x v="0"/>
    <n v="0"/>
    <n v="0"/>
    <n v="52"/>
    <n v="9"/>
    <n v="0"/>
    <n v="389.81"/>
    <n v="163.44999999999999"/>
    <m/>
    <n v="512.16294496076114"/>
    <n v="156.75768826917292"/>
    <n v="0"/>
    <n v="-400.33486999999997"/>
    <n v="-167.86314999999996"/>
    <n v="0"/>
    <n v="-525.99134447470169"/>
    <n v="-160.99014585244058"/>
  </r>
  <r>
    <s v="Regular"/>
    <x v="2"/>
    <x v="3"/>
    <x v="3"/>
    <x v="0"/>
    <x v="0"/>
    <x v="0"/>
    <x v="2"/>
    <x v="3"/>
    <n v="0"/>
    <n v="0"/>
    <n v="1747.2080000000001"/>
    <n v="1747.2080000000001"/>
    <n v="1747.2080000000001"/>
    <n v="1747.2080000000001"/>
    <n v="5715"/>
    <x v="0"/>
    <n v="0"/>
    <n v="0"/>
    <n v="52"/>
    <n v="9"/>
    <n v="0"/>
    <n v="389.81"/>
    <n v="163.44999999999999"/>
    <m/>
    <n v="512.16294496076114"/>
    <n v="156.75768826917292"/>
    <n v="0"/>
    <n v="681079.15048000007"/>
    <n v="285581.14759999997"/>
    <n v="0"/>
    <n v="894855.19473900157"/>
    <n v="273888.28700540506"/>
  </r>
  <r>
    <s v="Refaturamento - Regular"/>
    <x v="2"/>
    <x v="3"/>
    <x v="3"/>
    <x v="0"/>
    <x v="0"/>
    <x v="0"/>
    <x v="2"/>
    <x v="3"/>
    <n v="0"/>
    <n v="0"/>
    <n v="0.81899999999999995"/>
    <n v="0.81899999999999995"/>
    <n v="0.81899999999999995"/>
    <n v="0.81899999999999995"/>
    <n v="0"/>
    <x v="0"/>
    <n v="0"/>
    <n v="0"/>
    <n v="52"/>
    <n v="9"/>
    <n v="0"/>
    <n v="389.81"/>
    <n v="163.44999999999999"/>
    <m/>
    <n v="512.16294496076114"/>
    <n v="156.75768826917292"/>
    <n v="0"/>
    <n v="319.25439"/>
    <n v="133.86554999999998"/>
    <n v="0"/>
    <n v="419.46145192286332"/>
    <n v="128.3845466924526"/>
  </r>
  <r>
    <s v="Sistema de Compensação"/>
    <x v="2"/>
    <x v="3"/>
    <x v="3"/>
    <x v="0"/>
    <x v="0"/>
    <x v="0"/>
    <x v="2"/>
    <x v="3"/>
    <n v="0"/>
    <n v="0"/>
    <n v="20.591999999999999"/>
    <n v="20.591999999999999"/>
    <n v="20.591999999999999"/>
    <n v="20.591999999999999"/>
    <n v="113"/>
    <x v="0"/>
    <n v="0"/>
    <n v="0"/>
    <n v="52"/>
    <n v="9"/>
    <n v="0"/>
    <n v="389.81"/>
    <n v="163.44999999999999"/>
    <m/>
    <n v="512.16294496076114"/>
    <n v="156.75768826917292"/>
    <n v="0"/>
    <n v="8026.9675199999992"/>
    <n v="3365.7623999999996"/>
    <n v="0"/>
    <n v="10546.459362631993"/>
    <n v="3227.9543168388086"/>
  </r>
  <r>
    <s v="Regular"/>
    <x v="2"/>
    <x v="3"/>
    <x v="3"/>
    <x v="0"/>
    <x v="0"/>
    <x v="0"/>
    <x v="2"/>
    <x v="4"/>
    <n v="0"/>
    <n v="0"/>
    <n v="2243.922"/>
    <n v="2243.922"/>
    <n v="2243.922"/>
    <n v="2243.922"/>
    <n v="5706"/>
    <x v="0"/>
    <n v="0"/>
    <n v="0"/>
    <n v="52"/>
    <n v="9"/>
    <n v="0"/>
    <n v="389.81"/>
    <n v="163.44999999999999"/>
    <m/>
    <n v="512.16294496076114"/>
    <n v="156.75768826917292"/>
    <n v="0"/>
    <n v="874703.23482000001"/>
    <n v="366769.05089999997"/>
    <n v="0"/>
    <n v="1149253.6997822411"/>
    <n v="351752.02537633904"/>
  </r>
  <r>
    <s v="Refaturamento - Regular"/>
    <x v="2"/>
    <x v="3"/>
    <x v="3"/>
    <x v="0"/>
    <x v="0"/>
    <x v="0"/>
    <x v="2"/>
    <x v="4"/>
    <n v="0"/>
    <n v="0"/>
    <n v="-2.4689999999999999"/>
    <n v="-2.4689999999999999"/>
    <n v="-2.4689999999999999"/>
    <n v="-2.4689999999999999"/>
    <n v="0"/>
    <x v="0"/>
    <n v="0"/>
    <n v="0"/>
    <n v="52"/>
    <n v="9"/>
    <n v="0"/>
    <n v="389.81"/>
    <n v="163.44999999999999"/>
    <m/>
    <n v="512.16294496076114"/>
    <n v="156.75768826917292"/>
    <n v="0"/>
    <n v="-962.44088999999997"/>
    <n v="-403.55804999999992"/>
    <n v="0"/>
    <n v="-1264.5303111081191"/>
    <n v="-387.03473233658792"/>
  </r>
  <r>
    <s v="Sistema de Compensação"/>
    <x v="2"/>
    <x v="3"/>
    <x v="3"/>
    <x v="0"/>
    <x v="0"/>
    <x v="0"/>
    <x v="2"/>
    <x v="4"/>
    <n v="0"/>
    <n v="0"/>
    <n v="28.690999999999999"/>
    <n v="28.690999999999999"/>
    <n v="28.690999999999999"/>
    <n v="28.690999999999999"/>
    <n v="120"/>
    <x v="0"/>
    <n v="0"/>
    <n v="0"/>
    <n v="52"/>
    <n v="9"/>
    <n v="0"/>
    <n v="389.81"/>
    <n v="163.44999999999999"/>
    <m/>
    <n v="512.16294496076114"/>
    <n v="156.75768826917292"/>
    <n v="0"/>
    <n v="11184.038709999999"/>
    <n v="4689.5439499999993"/>
    <n v="0"/>
    <n v="14694.467053869197"/>
    <n v="4497.53483413084"/>
  </r>
  <r>
    <s v="Regular"/>
    <x v="2"/>
    <x v="3"/>
    <x v="3"/>
    <x v="0"/>
    <x v="0"/>
    <x v="0"/>
    <x v="2"/>
    <x v="5"/>
    <n v="0"/>
    <n v="0"/>
    <n v="2134.567"/>
    <n v="2134.567"/>
    <n v="2134.567"/>
    <n v="2134.567"/>
    <n v="5678"/>
    <x v="0"/>
    <n v="0"/>
    <n v="0"/>
    <n v="52"/>
    <n v="9"/>
    <n v="0"/>
    <n v="389.81"/>
    <n v="163.44999999999999"/>
    <m/>
    <n v="512.16294496076114"/>
    <n v="156.75768826917292"/>
    <n v="0"/>
    <n v="832075.56226999999"/>
    <n v="348894.97615"/>
    <n v="0"/>
    <n v="1093246.1209360571"/>
    <n v="334609.78837566363"/>
  </r>
  <r>
    <s v="Refaturamento - Regular"/>
    <x v="2"/>
    <x v="3"/>
    <x v="3"/>
    <x v="0"/>
    <x v="0"/>
    <x v="0"/>
    <x v="2"/>
    <x v="5"/>
    <n v="0"/>
    <n v="0"/>
    <n v="-2.1890000000000001"/>
    <n v="-2.1890000000000001"/>
    <n v="-2.1890000000000001"/>
    <n v="-2.1890000000000001"/>
    <n v="0"/>
    <x v="0"/>
    <n v="0"/>
    <n v="0"/>
    <n v="52"/>
    <n v="9"/>
    <n v="0"/>
    <n v="389.81"/>
    <n v="163.44999999999999"/>
    <m/>
    <n v="512.16294496076114"/>
    <n v="156.75768826917292"/>
    <n v="0"/>
    <n v="-853.29408999999998"/>
    <n v="-357.79204999999996"/>
    <n v="0"/>
    <n v="-1121.1246865191063"/>
    <n v="-343.14257962121951"/>
  </r>
  <r>
    <s v="Sistema de Compensação"/>
    <x v="2"/>
    <x v="3"/>
    <x v="3"/>
    <x v="0"/>
    <x v="0"/>
    <x v="0"/>
    <x v="2"/>
    <x v="5"/>
    <n v="0"/>
    <n v="0"/>
    <n v="45.225999999999999"/>
    <n v="45.225999999999999"/>
    <n v="45.225999999999999"/>
    <n v="45.225999999999999"/>
    <n v="135"/>
    <x v="0"/>
    <n v="0"/>
    <n v="0"/>
    <n v="52"/>
    <n v="9"/>
    <n v="0"/>
    <n v="389.81"/>
    <n v="163.44999999999999"/>
    <m/>
    <n v="512.16294496076114"/>
    <n v="156.75768826917292"/>
    <n v="0"/>
    <n v="17629.547060000001"/>
    <n v="7392.189699999999"/>
    <n v="0"/>
    <n v="23163.081348795382"/>
    <n v="7089.5232096616146"/>
  </r>
  <r>
    <s v="Sistema de Compensação"/>
    <x v="2"/>
    <x v="3"/>
    <x v="3"/>
    <x v="0"/>
    <x v="0"/>
    <x v="0"/>
    <x v="2"/>
    <x v="5"/>
    <n v="0"/>
    <n v="0"/>
    <n v="-2.0179999999999998"/>
    <n v="-2.0179999999999998"/>
    <n v="-2.0179999999999998"/>
    <n v="-2.0179999999999998"/>
    <n v="2"/>
    <x v="0"/>
    <n v="0"/>
    <n v="0"/>
    <n v="52"/>
    <n v="9"/>
    <n v="0"/>
    <n v="389.81"/>
    <n v="163.44999999999999"/>
    <m/>
    <n v="512.16294496076114"/>
    <n v="156.75768826917292"/>
    <n v="0"/>
    <n v="-786.63657999999998"/>
    <n v="-329.84209999999996"/>
    <n v="0"/>
    <n v="-1033.5448229308158"/>
    <n v="-316.33701492719092"/>
  </r>
  <r>
    <s v="Regular"/>
    <x v="2"/>
    <x v="3"/>
    <x v="3"/>
    <x v="0"/>
    <x v="0"/>
    <x v="0"/>
    <x v="2"/>
    <x v="6"/>
    <n v="0"/>
    <n v="0"/>
    <n v="1703.5640000000001"/>
    <n v="1703.5640000000001"/>
    <n v="1703.5640000000001"/>
    <n v="1703.5640000000001"/>
    <n v="5664"/>
    <x v="0"/>
    <n v="0"/>
    <n v="0"/>
    <n v="52"/>
    <n v="9"/>
    <n v="0"/>
    <n v="389.81"/>
    <n v="163.44999999999999"/>
    <m/>
    <n v="512.16294496076114"/>
    <n v="156.75768826917292"/>
    <n v="0"/>
    <n v="664066.28284"/>
    <n v="278447.53580000001"/>
    <n v="0"/>
    <n v="872502.3551691341"/>
    <n v="267046.75445858529"/>
  </r>
  <r>
    <s v="Refaturamento - Regular"/>
    <x v="2"/>
    <x v="3"/>
    <x v="3"/>
    <x v="0"/>
    <x v="0"/>
    <x v="0"/>
    <x v="2"/>
    <x v="6"/>
    <n v="0"/>
    <n v="0"/>
    <n v="-14.714"/>
    <n v="-14.714"/>
    <n v="-14.714"/>
    <n v="-14.714"/>
    <n v="0"/>
    <x v="0"/>
    <n v="0"/>
    <n v="0"/>
    <n v="52"/>
    <n v="9"/>
    <n v="0"/>
    <n v="389.81"/>
    <n v="163.44999999999999"/>
    <m/>
    <n v="512.16294496076114"/>
    <n v="156.75768826917292"/>
    <n v="0"/>
    <n v="-5735.6643400000003"/>
    <n v="-2405.0032999999999"/>
    <n v="0"/>
    <n v="-7535.9655721526397"/>
    <n v="-2306.5326251926103"/>
  </r>
  <r>
    <s v="Sistema de Compensação"/>
    <x v="2"/>
    <x v="3"/>
    <x v="3"/>
    <x v="0"/>
    <x v="0"/>
    <x v="0"/>
    <x v="2"/>
    <x v="6"/>
    <n v="0"/>
    <n v="0"/>
    <n v="29.56"/>
    <n v="29.56"/>
    <n v="29.56"/>
    <n v="29.56"/>
    <n v="140"/>
    <x v="0"/>
    <n v="0"/>
    <n v="0"/>
    <n v="52"/>
    <n v="9"/>
    <n v="0"/>
    <n v="389.81"/>
    <n v="163.44999999999999"/>
    <m/>
    <n v="512.16294496076114"/>
    <n v="156.75768826917292"/>
    <n v="0"/>
    <n v="11522.783599999999"/>
    <n v="4831.5819999999994"/>
    <n v="0"/>
    <n v="15139.536653040099"/>
    <n v="4633.7572652367517"/>
  </r>
  <r>
    <s v="Regular"/>
    <x v="2"/>
    <x v="3"/>
    <x v="3"/>
    <x v="0"/>
    <x v="0"/>
    <x v="0"/>
    <x v="2"/>
    <x v="7"/>
    <n v="0"/>
    <n v="0"/>
    <n v="1461.453"/>
    <n v="1461.453"/>
    <n v="1461.453"/>
    <n v="1461.453"/>
    <n v="5631"/>
    <x v="0"/>
    <n v="0"/>
    <n v="0"/>
    <n v="52"/>
    <n v="9"/>
    <n v="0"/>
    <n v="389.81"/>
    <n v="163.44999999999999"/>
    <m/>
    <n v="512.16294496076114"/>
    <n v="156.75768826917292"/>
    <n v="0"/>
    <n v="569688.99393"/>
    <n v="238874.49284999998"/>
    <n v="0"/>
    <n v="748502.07240173919"/>
    <n v="229093.99379404756"/>
  </r>
  <r>
    <s v="Refaturamento - Regular"/>
    <x v="2"/>
    <x v="3"/>
    <x v="3"/>
    <x v="0"/>
    <x v="0"/>
    <x v="0"/>
    <x v="2"/>
    <x v="7"/>
    <n v="0"/>
    <n v="0"/>
    <n v="-0.51600000000000001"/>
    <n v="-0.51600000000000001"/>
    <n v="-0.51600000000000001"/>
    <n v="-0.51600000000000001"/>
    <n v="0"/>
    <x v="0"/>
    <n v="0"/>
    <n v="0"/>
    <n v="52"/>
    <n v="9"/>
    <n v="0"/>
    <n v="389.81"/>
    <n v="163.44999999999999"/>
    <m/>
    <n v="512.16294496076114"/>
    <n v="156.75768826917292"/>
    <n v="0"/>
    <n v="-201.14196000000001"/>
    <n v="-84.340199999999996"/>
    <n v="0"/>
    <n v="-264.27607959975273"/>
    <n v="-80.886967146893227"/>
  </r>
  <r>
    <s v="Sistema de Compensação"/>
    <x v="2"/>
    <x v="3"/>
    <x v="3"/>
    <x v="0"/>
    <x v="0"/>
    <x v="0"/>
    <x v="2"/>
    <x v="7"/>
    <n v="0"/>
    <n v="0"/>
    <n v="30.376999999999999"/>
    <n v="30.376999999999999"/>
    <n v="30.376999999999999"/>
    <n v="30.376999999999999"/>
    <n v="160"/>
    <x v="0"/>
    <n v="0"/>
    <n v="0"/>
    <n v="52"/>
    <n v="9"/>
    <n v="0"/>
    <n v="389.81"/>
    <n v="163.44999999999999"/>
    <m/>
    <n v="512.16294496076114"/>
    <n v="156.75768826917292"/>
    <n v="0"/>
    <n v="11841.25837"/>
    <n v="4965.1206499999998"/>
    <n v="0"/>
    <n v="15557.97377907304"/>
    <n v="4761.828296552666"/>
  </r>
  <r>
    <s v="Sistema de Compensação"/>
    <x v="2"/>
    <x v="3"/>
    <x v="3"/>
    <x v="0"/>
    <x v="0"/>
    <x v="0"/>
    <x v="2"/>
    <x v="7"/>
    <n v="0"/>
    <n v="0"/>
    <n v="12.362"/>
    <n v="12.362"/>
    <n v="12.362"/>
    <n v="12.362"/>
    <n v="1"/>
    <x v="0"/>
    <n v="0"/>
    <n v="0"/>
    <n v="52"/>
    <n v="9"/>
    <n v="0"/>
    <n v="389.81"/>
    <n v="163.44999999999999"/>
    <m/>
    <n v="512.16294496076114"/>
    <n v="156.75768826917292"/>
    <n v="0"/>
    <n v="4818.83122"/>
    <n v="2020.5689"/>
    <n v="0"/>
    <n v="6331.3583256049296"/>
    <n v="1937.8385423835157"/>
  </r>
  <r>
    <s v="Regular"/>
    <x v="2"/>
    <x v="3"/>
    <x v="3"/>
    <x v="0"/>
    <x v="0"/>
    <x v="0"/>
    <x v="2"/>
    <x v="8"/>
    <n v="0"/>
    <n v="0"/>
    <n v="1347.9069999999999"/>
    <n v="1347.9069999999999"/>
    <n v="1347.9069999999999"/>
    <n v="1347.9069999999999"/>
    <n v="5614"/>
    <x v="0"/>
    <n v="0"/>
    <n v="0"/>
    <n v="52"/>
    <n v="9"/>
    <n v="0"/>
    <n v="389.81"/>
    <n v="163.44999999999999"/>
    <m/>
    <n v="512.16294496076114"/>
    <n v="156.75768826917292"/>
    <n v="0"/>
    <n v="525427.62766999996"/>
    <n v="220315.39914999998"/>
    <n v="0"/>
    <n v="690348.01865322457"/>
    <n v="211294.78532183604"/>
  </r>
  <r>
    <s v="Refaturamento - Regular"/>
    <x v="2"/>
    <x v="3"/>
    <x v="3"/>
    <x v="0"/>
    <x v="0"/>
    <x v="0"/>
    <x v="2"/>
    <x v="8"/>
    <n v="0"/>
    <n v="0"/>
    <n v="-1.5860000000000001"/>
    <n v="-1.5860000000000001"/>
    <n v="-1.5860000000000001"/>
    <n v="-1.5860000000000001"/>
    <n v="0"/>
    <x v="0"/>
    <n v="0"/>
    <n v="0"/>
    <n v="52"/>
    <n v="9"/>
    <n v="0"/>
    <n v="389.81"/>
    <n v="163.44999999999999"/>
    <m/>
    <n v="512.16294496076114"/>
    <n v="156.75768826917292"/>
    <n v="0"/>
    <n v="-618.23865999999998"/>
    <n v="-259.23169999999999"/>
    <n v="0"/>
    <n v="-812.2904307077672"/>
    <n v="-248.61769359490825"/>
  </r>
  <r>
    <s v="Sistema de Compensação"/>
    <x v="2"/>
    <x v="3"/>
    <x v="3"/>
    <x v="0"/>
    <x v="0"/>
    <x v="0"/>
    <x v="2"/>
    <x v="8"/>
    <n v="0"/>
    <n v="0"/>
    <n v="46.774999999999999"/>
    <n v="46.774999999999999"/>
    <n v="46.774999999999999"/>
    <n v="46.774999999999999"/>
    <n v="170"/>
    <x v="0"/>
    <n v="0"/>
    <n v="0"/>
    <n v="52"/>
    <n v="9"/>
    <n v="0"/>
    <n v="389.81"/>
    <n v="163.44999999999999"/>
    <m/>
    <n v="512.16294496076114"/>
    <n v="156.75768826917292"/>
    <n v="0"/>
    <n v="18233.36275"/>
    <n v="7645.3737499999988"/>
    <n v="0"/>
    <n v="23956.421750539601"/>
    <n v="7332.340868790563"/>
  </r>
  <r>
    <s v="Sistema de Compensação"/>
    <x v="2"/>
    <x v="3"/>
    <x v="3"/>
    <x v="0"/>
    <x v="0"/>
    <x v="0"/>
    <x v="2"/>
    <x v="8"/>
    <n v="0"/>
    <n v="0"/>
    <n v="15.874000000000001"/>
    <n v="15.874000000000001"/>
    <n v="15.874000000000001"/>
    <n v="15.874000000000001"/>
    <n v="7"/>
    <x v="0"/>
    <n v="0"/>
    <n v="0"/>
    <n v="52"/>
    <n v="9"/>
    <n v="0"/>
    <n v="389.81"/>
    <n v="163.44999999999999"/>
    <m/>
    <n v="512.16294496076114"/>
    <n v="156.75768826917292"/>
    <n v="0"/>
    <n v="6187.8439400000007"/>
    <n v="2594.6052999999997"/>
    <n v="0"/>
    <n v="8130.0745883071222"/>
    <n v="2488.3715435848508"/>
  </r>
  <r>
    <s v="Regular"/>
    <x v="2"/>
    <x v="3"/>
    <x v="3"/>
    <x v="0"/>
    <x v="0"/>
    <x v="0"/>
    <x v="2"/>
    <x v="9"/>
    <n v="0"/>
    <n v="0"/>
    <n v="1366.492"/>
    <n v="1366.492"/>
    <n v="1366.492"/>
    <n v="1366.492"/>
    <n v="5593"/>
    <x v="0"/>
    <n v="0"/>
    <n v="0"/>
    <n v="52"/>
    <n v="9"/>
    <n v="0"/>
    <n v="389.81"/>
    <n v="163.44999999999999"/>
    <m/>
    <n v="512.16294496076114"/>
    <n v="156.75768826917292"/>
    <n v="0"/>
    <n v="532672.24652000004"/>
    <n v="223353.11739999999"/>
    <n v="0"/>
    <n v="699866.56698532042"/>
    <n v="214208.12695831864"/>
  </r>
  <r>
    <s v="Refaturamento - Regular"/>
    <x v="2"/>
    <x v="3"/>
    <x v="3"/>
    <x v="0"/>
    <x v="0"/>
    <x v="0"/>
    <x v="2"/>
    <x v="9"/>
    <n v="0"/>
    <n v="0"/>
    <n v="-0.187"/>
    <n v="-0.187"/>
    <n v="-0.187"/>
    <n v="-0.187"/>
    <n v="0"/>
    <x v="0"/>
    <n v="0"/>
    <n v="0"/>
    <n v="52"/>
    <n v="9"/>
    <n v="0"/>
    <n v="389.81"/>
    <n v="163.44999999999999"/>
    <m/>
    <n v="512.16294496076114"/>
    <n v="156.75768826917292"/>
    <n v="0"/>
    <n v="-72.894469999999998"/>
    <n v="-30.565149999999999"/>
    <n v="0"/>
    <n v="-95.774470707662331"/>
    <n v="-29.313687706335337"/>
  </r>
  <r>
    <s v="Regular"/>
    <x v="2"/>
    <x v="3"/>
    <x v="3"/>
    <x v="0"/>
    <x v="0"/>
    <x v="0"/>
    <x v="2"/>
    <x v="10"/>
    <n v="0"/>
    <n v="0"/>
    <n v="1206.8920000000001"/>
    <n v="1206.8920000000001"/>
    <n v="1206.8920000000001"/>
    <n v="1206.8920000000001"/>
    <n v="5577"/>
    <x v="0"/>
    <n v="0"/>
    <n v="0"/>
    <n v="52"/>
    <n v="9"/>
    <n v="0"/>
    <n v="389.81"/>
    <n v="163.44999999999999"/>
    <m/>
    <n v="512.16294496076114"/>
    <n v="156.75768826917292"/>
    <n v="0"/>
    <n v="470458.57052000001"/>
    <n v="197266.49739999999"/>
    <n v="0"/>
    <n v="618125.36096958292"/>
    <n v="189189.59991055864"/>
  </r>
  <r>
    <s v="Refaturamento - Regular"/>
    <x v="2"/>
    <x v="3"/>
    <x v="3"/>
    <x v="0"/>
    <x v="0"/>
    <x v="0"/>
    <x v="2"/>
    <x v="10"/>
    <n v="0"/>
    <n v="0"/>
    <n v="-0.32800000000000001"/>
    <n v="-0.32800000000000001"/>
    <n v="-0.32800000000000001"/>
    <n v="-0.32800000000000001"/>
    <n v="0"/>
    <x v="0"/>
    <n v="0"/>
    <n v="0"/>
    <n v="52"/>
    <n v="9"/>
    <n v="0"/>
    <n v="389.81"/>
    <n v="163.44999999999999"/>
    <m/>
    <n v="512.16294496076114"/>
    <n v="156.75768826917292"/>
    <n v="0"/>
    <n v="-127.85768"/>
    <n v="-53.611599999999996"/>
    <n v="0"/>
    <n v="-167.98944594712967"/>
    <n v="-51.416521752288716"/>
  </r>
  <r>
    <s v="Sistema de Compensação"/>
    <x v="2"/>
    <x v="3"/>
    <x v="3"/>
    <x v="0"/>
    <x v="0"/>
    <x v="0"/>
    <x v="2"/>
    <x v="10"/>
    <n v="0"/>
    <n v="0"/>
    <n v="46.091999999999999"/>
    <n v="46.091999999999999"/>
    <n v="46.091999999999999"/>
    <n v="46.091999999999999"/>
    <n v="188"/>
    <x v="0"/>
    <n v="0"/>
    <n v="0"/>
    <n v="52"/>
    <n v="9"/>
    <n v="0"/>
    <n v="389.81"/>
    <n v="163.44999999999999"/>
    <m/>
    <n v="512.16294496076114"/>
    <n v="156.75768826917292"/>
    <n v="0"/>
    <n v="17967.122520000001"/>
    <n v="7533.7373999999991"/>
    <n v="0"/>
    <n v="23606.614459131401"/>
    <n v="7225.2753677027176"/>
  </r>
  <r>
    <s v="Regular"/>
    <x v="2"/>
    <x v="3"/>
    <x v="3"/>
    <x v="0"/>
    <x v="0"/>
    <x v="0"/>
    <x v="2"/>
    <x v="11"/>
    <n v="0"/>
    <n v="0"/>
    <n v="1362.568"/>
    <n v="1362.568"/>
    <n v="1362.568"/>
    <n v="1362.568"/>
    <n v="5576"/>
    <x v="0"/>
    <n v="0"/>
    <n v="0"/>
    <n v="52"/>
    <n v="9"/>
    <n v="0"/>
    <n v="389.81"/>
    <n v="163.44999999999999"/>
    <m/>
    <n v="512.16294496076114"/>
    <n v="156.75768826917292"/>
    <n v="0"/>
    <n v="531142.63208000001"/>
    <n v="222711.73959999997"/>
    <n v="0"/>
    <n v="697856.8395892944"/>
    <n v="213593.00978955039"/>
  </r>
  <r>
    <s v="Sistema de Compensação"/>
    <x v="2"/>
    <x v="3"/>
    <x v="3"/>
    <x v="0"/>
    <x v="0"/>
    <x v="0"/>
    <x v="2"/>
    <x v="11"/>
    <n v="0"/>
    <n v="0"/>
    <n v="39.896999999999998"/>
    <n v="39.896999999999998"/>
    <n v="39.896999999999998"/>
    <n v="39.896999999999998"/>
    <n v="189"/>
    <x v="0"/>
    <n v="0"/>
    <n v="0"/>
    <n v="52"/>
    <n v="9"/>
    <n v="0"/>
    <n v="389.81"/>
    <n v="163.44999999999999"/>
    <m/>
    <n v="512.16294496076114"/>
    <n v="156.75768826917292"/>
    <n v="0"/>
    <n v="15552.24957"/>
    <n v="6521.1646499999997"/>
    <n v="0"/>
    <n v="20433.765015099485"/>
    <n v="6254.1614888751919"/>
  </r>
  <r>
    <s v="Regular"/>
    <x v="3"/>
    <x v="2"/>
    <x v="0"/>
    <x v="0"/>
    <x v="0"/>
    <x v="0"/>
    <x v="0"/>
    <x v="0"/>
    <n v="0"/>
    <n v="0"/>
    <n v="1.038"/>
    <n v="1.038"/>
    <n v="1.038"/>
    <n v="1.038"/>
    <n v="0"/>
    <x v="0"/>
    <n v="0"/>
    <n v="0"/>
    <n v="66"/>
    <n v="37"/>
    <n v="0"/>
    <n v="337.72"/>
    <n v="185.74"/>
    <m/>
    <n v="418.99281401253353"/>
    <n v="166.7634981586946"/>
    <n v="0"/>
    <n v="350.55336000000005"/>
    <n v="192.79812000000001"/>
    <n v="0"/>
    <n v="434.91454094500983"/>
    <n v="173.100511088725"/>
  </r>
  <r>
    <s v="Regular"/>
    <x v="3"/>
    <x v="2"/>
    <x v="0"/>
    <x v="0"/>
    <x v="0"/>
    <x v="0"/>
    <x v="0"/>
    <x v="1"/>
    <n v="0"/>
    <n v="0"/>
    <n v="0.97599999999999998"/>
    <n v="0.97599999999999998"/>
    <n v="0.97599999999999998"/>
    <n v="0.97599999999999998"/>
    <n v="0"/>
    <x v="0"/>
    <n v="0"/>
    <n v="0"/>
    <n v="66"/>
    <n v="37"/>
    <n v="0"/>
    <n v="337.72"/>
    <n v="185.74"/>
    <m/>
    <n v="418.99281401253353"/>
    <n v="166.7634981586946"/>
    <n v="0"/>
    <n v="329.61472000000003"/>
    <n v="181.28224"/>
    <n v="0"/>
    <n v="408.93698647623273"/>
    <n v="162.76117420288594"/>
  </r>
  <r>
    <s v="Regular"/>
    <x v="3"/>
    <x v="2"/>
    <x v="0"/>
    <x v="0"/>
    <x v="0"/>
    <x v="0"/>
    <x v="0"/>
    <x v="2"/>
    <n v="0"/>
    <n v="0"/>
    <n v="0.91500000000000004"/>
    <n v="0.91500000000000004"/>
    <n v="0.91500000000000004"/>
    <n v="0.91500000000000004"/>
    <n v="0"/>
    <x v="0"/>
    <n v="0"/>
    <n v="0"/>
    <n v="66"/>
    <n v="37"/>
    <n v="0"/>
    <n v="337.72"/>
    <n v="185.74"/>
    <m/>
    <n v="418.99281401253353"/>
    <n v="166.7634981586946"/>
    <n v="0"/>
    <n v="309.01380000000006"/>
    <n v="169.9521"/>
    <n v="0"/>
    <n v="383.37842482146817"/>
    <n v="152.58860081520558"/>
  </r>
  <r>
    <s v="Regular"/>
    <x v="3"/>
    <x v="2"/>
    <x v="0"/>
    <x v="0"/>
    <x v="0"/>
    <x v="0"/>
    <x v="0"/>
    <x v="3"/>
    <n v="0"/>
    <n v="0"/>
    <n v="0.84399999999999997"/>
    <n v="0.84399999999999997"/>
    <n v="0.84399999999999997"/>
    <n v="0.84399999999999997"/>
    <n v="0"/>
    <x v="0"/>
    <n v="0"/>
    <n v="0"/>
    <n v="66"/>
    <n v="37"/>
    <n v="0"/>
    <n v="337.72"/>
    <n v="185.74"/>
    <m/>
    <n v="418.99281401253353"/>
    <n v="166.7634981586946"/>
    <n v="0"/>
    <n v="285.03568000000001"/>
    <n v="156.76455999999999"/>
    <n v="0"/>
    <n v="353.62993502657827"/>
    <n v="140.74839244593824"/>
  </r>
  <r>
    <s v="Regular"/>
    <x v="3"/>
    <x v="2"/>
    <x v="0"/>
    <x v="0"/>
    <x v="0"/>
    <x v="0"/>
    <x v="0"/>
    <x v="4"/>
    <n v="0"/>
    <n v="0"/>
    <n v="1.236"/>
    <n v="1.236"/>
    <n v="1.236"/>
    <n v="1.236"/>
    <n v="0"/>
    <x v="0"/>
    <n v="0"/>
    <n v="0"/>
    <n v="66"/>
    <n v="37"/>
    <n v="0"/>
    <n v="337.72"/>
    <n v="185.74"/>
    <m/>
    <n v="418.99281401253353"/>
    <n v="166.7634981586946"/>
    <n v="0"/>
    <n v="417.42192000000006"/>
    <n v="229.57464000000002"/>
    <n v="0"/>
    <n v="517.87511811949139"/>
    <n v="206.11968372414654"/>
  </r>
  <r>
    <s v="Regular"/>
    <x v="3"/>
    <x v="2"/>
    <x v="0"/>
    <x v="0"/>
    <x v="0"/>
    <x v="0"/>
    <x v="0"/>
    <x v="5"/>
    <n v="0"/>
    <n v="0"/>
    <n v="1.349"/>
    <n v="1.349"/>
    <n v="1.349"/>
    <n v="1.349"/>
    <n v="0"/>
    <x v="0"/>
    <n v="0"/>
    <n v="0"/>
    <n v="66"/>
    <n v="37"/>
    <n v="0"/>
    <n v="337.72"/>
    <n v="185.74"/>
    <m/>
    <n v="418.99281401253353"/>
    <n v="166.7634981586946"/>
    <n v="0"/>
    <n v="455.58428000000004"/>
    <n v="250.56326000000001"/>
    <n v="0"/>
    <n v="565.22130610290776"/>
    <n v="224.963959016079"/>
  </r>
  <r>
    <s v="Regular"/>
    <x v="3"/>
    <x v="2"/>
    <x v="0"/>
    <x v="0"/>
    <x v="0"/>
    <x v="0"/>
    <x v="0"/>
    <x v="6"/>
    <n v="0"/>
    <n v="0"/>
    <n v="0.12"/>
    <n v="0.12"/>
    <n v="0.12"/>
    <n v="0.12"/>
    <n v="0"/>
    <x v="0"/>
    <n v="0"/>
    <n v="0"/>
    <n v="66"/>
    <n v="37"/>
    <n v="0"/>
    <n v="337.72"/>
    <n v="185.74"/>
    <m/>
    <n v="418.99281401253353"/>
    <n v="166.7634981586946"/>
    <n v="0"/>
    <n v="40.526400000000002"/>
    <n v="22.288800000000002"/>
    <n v="0"/>
    <n v="50.279137681504018"/>
    <n v="20.01161977904335"/>
  </r>
  <r>
    <s v="Regular"/>
    <x v="3"/>
    <x v="2"/>
    <x v="0"/>
    <x v="0"/>
    <x v="0"/>
    <x v="0"/>
    <x v="3"/>
    <x v="0"/>
    <n v="0"/>
    <n v="0"/>
    <n v="6.9000000000000006E-2"/>
    <n v="6.9000000000000006E-2"/>
    <n v="6.9000000000000006E-2"/>
    <n v="6.9000000000000006E-2"/>
    <n v="0"/>
    <x v="0"/>
    <n v="0"/>
    <n v="0"/>
    <n v="65"/>
    <n v="35"/>
    <n v="0"/>
    <n v="806.19"/>
    <n v="185.74"/>
    <m/>
    <n v="979.23297323182283"/>
    <n v="166.7634981586946"/>
    <n v="0"/>
    <n v="55.627110000000009"/>
    <n v="12.816060000000002"/>
    <n v="0"/>
    <n v="67.567075152995784"/>
    <n v="11.506681372949929"/>
  </r>
  <r>
    <s v="Regular"/>
    <x v="3"/>
    <x v="2"/>
    <x v="0"/>
    <x v="0"/>
    <x v="0"/>
    <x v="0"/>
    <x v="3"/>
    <x v="1"/>
    <n v="0"/>
    <n v="0"/>
    <n v="7.0999999999999994E-2"/>
    <n v="7.0999999999999994E-2"/>
    <n v="7.0999999999999994E-2"/>
    <n v="7.0999999999999994E-2"/>
    <n v="0"/>
    <x v="0"/>
    <n v="0"/>
    <n v="0"/>
    <n v="65"/>
    <n v="35"/>
    <n v="0"/>
    <n v="806.19"/>
    <n v="185.74"/>
    <m/>
    <n v="979.23297323182283"/>
    <n v="166.7634981586946"/>
    <n v="0"/>
    <n v="57.239489999999996"/>
    <n v="13.18754"/>
    <n v="0"/>
    <n v="69.525541099459417"/>
    <n v="11.840208369267316"/>
  </r>
  <r>
    <s v="Regular"/>
    <x v="3"/>
    <x v="2"/>
    <x v="0"/>
    <x v="0"/>
    <x v="0"/>
    <x v="0"/>
    <x v="3"/>
    <x v="2"/>
    <n v="0"/>
    <n v="0"/>
    <n v="6.7000000000000004E-2"/>
    <n v="6.7000000000000004E-2"/>
    <n v="6.7000000000000004E-2"/>
    <n v="6.7000000000000004E-2"/>
    <n v="0"/>
    <x v="0"/>
    <n v="0"/>
    <n v="0"/>
    <n v="65"/>
    <n v="35"/>
    <n v="0"/>
    <n v="806.19"/>
    <n v="185.74"/>
    <m/>
    <n v="979.23297323182283"/>
    <n v="166.7634981586946"/>
    <n v="0"/>
    <n v="54.014730000000007"/>
    <n v="12.444580000000002"/>
    <n v="0"/>
    <n v="65.608609206532137"/>
    <n v="11.173154376632539"/>
  </r>
  <r>
    <s v="Regular"/>
    <x v="3"/>
    <x v="2"/>
    <x v="0"/>
    <x v="0"/>
    <x v="0"/>
    <x v="0"/>
    <x v="3"/>
    <x v="3"/>
    <n v="0"/>
    <n v="0"/>
    <n v="5.8000000000000003E-2"/>
    <n v="5.8000000000000003E-2"/>
    <n v="5.8000000000000003E-2"/>
    <n v="5.8000000000000003E-2"/>
    <n v="0"/>
    <x v="0"/>
    <n v="0"/>
    <n v="0"/>
    <n v="65"/>
    <n v="35"/>
    <n v="0"/>
    <n v="806.19"/>
    <n v="185.74"/>
    <m/>
    <n v="979.23297323182283"/>
    <n v="166.7634981586946"/>
    <n v="0"/>
    <n v="46.759020000000007"/>
    <n v="10.772920000000001"/>
    <n v="0"/>
    <n v="56.795512447445724"/>
    <n v="9.6722828932042866"/>
  </r>
  <r>
    <s v="Regular"/>
    <x v="3"/>
    <x v="2"/>
    <x v="0"/>
    <x v="0"/>
    <x v="0"/>
    <x v="0"/>
    <x v="3"/>
    <x v="4"/>
    <n v="0"/>
    <n v="0"/>
    <n v="0.09"/>
    <n v="0.09"/>
    <n v="0.09"/>
    <n v="0.09"/>
    <n v="0"/>
    <x v="0"/>
    <n v="0"/>
    <n v="0"/>
    <n v="65"/>
    <n v="35"/>
    <n v="0"/>
    <n v="806.19"/>
    <n v="185.74"/>
    <m/>
    <n v="979.23297323182283"/>
    <n v="166.7634981586946"/>
    <n v="0"/>
    <n v="72.557100000000005"/>
    <n v="16.7166"/>
    <n v="0"/>
    <n v="88.130967590864046"/>
    <n v="15.008714834282515"/>
  </r>
  <r>
    <s v="Regular"/>
    <x v="3"/>
    <x v="2"/>
    <x v="0"/>
    <x v="0"/>
    <x v="0"/>
    <x v="0"/>
    <x v="3"/>
    <x v="5"/>
    <n v="0"/>
    <n v="0"/>
    <n v="0.10199999999999999"/>
    <n v="0.10199999999999999"/>
    <n v="0.10199999999999999"/>
    <n v="0.10199999999999999"/>
    <n v="0"/>
    <x v="0"/>
    <n v="0"/>
    <n v="0"/>
    <n v="65"/>
    <n v="35"/>
    <n v="0"/>
    <n v="806.19"/>
    <n v="185.74"/>
    <m/>
    <n v="979.23297323182283"/>
    <n v="166.7634981586946"/>
    <n v="0"/>
    <n v="82.231380000000001"/>
    <n v="18.94548"/>
    <n v="0"/>
    <n v="99.881763269645916"/>
    <n v="17.00987681218685"/>
  </r>
  <r>
    <s v="Regular"/>
    <x v="3"/>
    <x v="2"/>
    <x v="0"/>
    <x v="0"/>
    <x v="0"/>
    <x v="0"/>
    <x v="1"/>
    <x v="0"/>
    <n v="0"/>
    <n v="0"/>
    <n v="0.109"/>
    <n v="0.109"/>
    <n v="0.109"/>
    <n v="0.109"/>
    <n v="0"/>
    <x v="0"/>
    <n v="0"/>
    <n v="0"/>
    <n v="64"/>
    <n v="33"/>
    <n v="0"/>
    <n v="1274.73"/>
    <n v="185.74"/>
    <m/>
    <n v="1539.5487919900927"/>
    <n v="166.7634981586946"/>
    <n v="0"/>
    <n v="138.94557"/>
    <n v="20.245660000000001"/>
    <n v="0"/>
    <n v="167.8108183269201"/>
    <n v="18.177221299297713"/>
  </r>
  <r>
    <s v="Regular"/>
    <x v="3"/>
    <x v="2"/>
    <x v="0"/>
    <x v="0"/>
    <x v="0"/>
    <x v="0"/>
    <x v="1"/>
    <x v="1"/>
    <n v="0"/>
    <n v="0"/>
    <n v="0.10100000000000001"/>
    <n v="0.10100000000000001"/>
    <n v="0.10100000000000001"/>
    <n v="0.10100000000000001"/>
    <n v="0"/>
    <x v="0"/>
    <n v="0"/>
    <n v="0"/>
    <n v="64"/>
    <n v="33"/>
    <n v="0"/>
    <n v="1274.73"/>
    <n v="185.74"/>
    <m/>
    <n v="1539.5487919900927"/>
    <n v="166.7634981586946"/>
    <n v="0"/>
    <n v="128.74773000000002"/>
    <n v="18.759740000000001"/>
    <n v="0"/>
    <n v="155.49442799099938"/>
    <n v="16.843113314028155"/>
  </r>
  <r>
    <s v="Regular"/>
    <x v="3"/>
    <x v="2"/>
    <x v="0"/>
    <x v="0"/>
    <x v="0"/>
    <x v="0"/>
    <x v="1"/>
    <x v="2"/>
    <n v="0"/>
    <n v="0"/>
    <n v="0.10299999999999999"/>
    <n v="0.10299999999999999"/>
    <n v="0.10299999999999999"/>
    <n v="0.10299999999999999"/>
    <n v="0"/>
    <x v="0"/>
    <n v="0"/>
    <n v="0"/>
    <n v="64"/>
    <n v="33"/>
    <n v="0"/>
    <n v="1274.73"/>
    <n v="185.74"/>
    <m/>
    <n v="1539.5487919900927"/>
    <n v="166.7634981586946"/>
    <n v="0"/>
    <n v="131.29719"/>
    <n v="19.131219999999999"/>
    <n v="0"/>
    <n v="158.57352557497953"/>
    <n v="17.176640310345544"/>
  </r>
  <r>
    <s v="Regular"/>
    <x v="3"/>
    <x v="2"/>
    <x v="0"/>
    <x v="0"/>
    <x v="0"/>
    <x v="0"/>
    <x v="1"/>
    <x v="3"/>
    <n v="0"/>
    <n v="0"/>
    <n v="9.2999999999999999E-2"/>
    <n v="9.2999999999999999E-2"/>
    <n v="9.2999999999999999E-2"/>
    <n v="9.2999999999999999E-2"/>
    <n v="0"/>
    <x v="0"/>
    <n v="0"/>
    <n v="0"/>
    <n v="64"/>
    <n v="33"/>
    <n v="0"/>
    <n v="1274.73"/>
    <n v="185.74"/>
    <m/>
    <n v="1539.5487919900927"/>
    <n v="166.7634981586946"/>
    <n v="0"/>
    <n v="118.54989"/>
    <n v="17.273820000000001"/>
    <n v="0"/>
    <n v="143.17803765507861"/>
    <n v="15.509005328758597"/>
  </r>
  <r>
    <s v="Regular"/>
    <x v="3"/>
    <x v="2"/>
    <x v="0"/>
    <x v="0"/>
    <x v="0"/>
    <x v="0"/>
    <x v="1"/>
    <x v="4"/>
    <n v="0"/>
    <n v="0"/>
    <n v="0.156"/>
    <n v="0.156"/>
    <n v="0.156"/>
    <n v="0.156"/>
    <n v="0"/>
    <x v="0"/>
    <n v="0"/>
    <n v="0"/>
    <n v="64"/>
    <n v="33"/>
    <n v="0"/>
    <n v="1274.73"/>
    <n v="185.74"/>
    <m/>
    <n v="1539.5487919900927"/>
    <n v="166.7634981586946"/>
    <n v="0"/>
    <n v="198.85787999999999"/>
    <n v="28.975440000000003"/>
    <n v="0"/>
    <n v="240.16961155045445"/>
    <n v="26.015105712756359"/>
  </r>
  <r>
    <s v="Regular"/>
    <x v="3"/>
    <x v="2"/>
    <x v="0"/>
    <x v="0"/>
    <x v="0"/>
    <x v="0"/>
    <x v="1"/>
    <x v="5"/>
    <n v="0"/>
    <n v="0"/>
    <n v="0.184"/>
    <n v="0.184"/>
    <n v="0.184"/>
    <n v="0.184"/>
    <n v="0"/>
    <x v="0"/>
    <n v="0"/>
    <n v="0"/>
    <n v="64"/>
    <n v="33"/>
    <n v="0"/>
    <n v="1274.73"/>
    <n v="185.74"/>
    <m/>
    <n v="1539.5487919900927"/>
    <n v="166.7634981586946"/>
    <n v="0"/>
    <n v="234.55032"/>
    <n v="34.176160000000003"/>
    <n v="0"/>
    <n v="283.27697772617705"/>
    <n v="30.684483661199806"/>
  </r>
  <r>
    <s v="Regular"/>
    <x v="3"/>
    <x v="3"/>
    <x v="0"/>
    <x v="0"/>
    <x v="0"/>
    <x v="0"/>
    <x v="2"/>
    <x v="0"/>
    <n v="0"/>
    <n v="0"/>
    <n v="141.58799999999999"/>
    <n v="141.58799999999999"/>
    <n v="141.58799999999999"/>
    <n v="141.58799999999999"/>
    <n v="365"/>
    <x v="0"/>
    <n v="0"/>
    <n v="0"/>
    <n v="67"/>
    <n v="39"/>
    <n v="0"/>
    <n v="442.96"/>
    <n v="185.74"/>
    <m/>
    <n v="544.85419676676725"/>
    <n v="166.7634981586946"/>
    <n v="0"/>
    <n v="62717.820479999995"/>
    <n v="26298.555120000001"/>
    <n v="0"/>
    <n v="77144.816011813033"/>
    <n v="23611.710177293251"/>
  </r>
  <r>
    <s v="Sistema de Compensação"/>
    <x v="3"/>
    <x v="3"/>
    <x v="0"/>
    <x v="0"/>
    <x v="0"/>
    <x v="0"/>
    <x v="2"/>
    <x v="0"/>
    <n v="0"/>
    <n v="0"/>
    <n v="6.593"/>
    <n v="6.593"/>
    <n v="6.593"/>
    <n v="6.593"/>
    <n v="10"/>
    <x v="0"/>
    <n v="0"/>
    <n v="0"/>
    <n v="67"/>
    <n v="39"/>
    <n v="0"/>
    <n v="442.96"/>
    <n v="185.74"/>
    <m/>
    <n v="544.85419676676725"/>
    <n v="166.7634981586946"/>
    <n v="0"/>
    <n v="2920.4352799999997"/>
    <n v="1224.5838200000001"/>
    <n v="0"/>
    <n v="3592.2237192832963"/>
    <n v="1099.4717433602734"/>
  </r>
  <r>
    <s v="Regular"/>
    <x v="3"/>
    <x v="3"/>
    <x v="0"/>
    <x v="0"/>
    <x v="0"/>
    <x v="0"/>
    <x v="2"/>
    <x v="1"/>
    <n v="0"/>
    <n v="0"/>
    <n v="148.98599999999999"/>
    <n v="148.98599999999999"/>
    <n v="148.98599999999999"/>
    <n v="148.98599999999999"/>
    <n v="364"/>
    <x v="0"/>
    <n v="0"/>
    <n v="0"/>
    <n v="67"/>
    <n v="39"/>
    <n v="0"/>
    <n v="442.96"/>
    <n v="185.74"/>
    <m/>
    <n v="544.85419676676725"/>
    <n v="166.7634981586946"/>
    <n v="0"/>
    <n v="65994.838559999989"/>
    <n v="27672.659639999998"/>
    <n v="0"/>
    <n v="81175.647359493581"/>
    <n v="24845.426536671272"/>
  </r>
  <r>
    <s v="Refaturamento - Regular"/>
    <x v="3"/>
    <x v="3"/>
    <x v="0"/>
    <x v="0"/>
    <x v="0"/>
    <x v="0"/>
    <x v="2"/>
    <x v="1"/>
    <n v="0"/>
    <n v="0"/>
    <n v="-4.0990000000000002"/>
    <n v="-4.0990000000000002"/>
    <n v="-4.0990000000000002"/>
    <n v="-4.0990000000000002"/>
    <n v="0"/>
    <x v="0"/>
    <n v="0"/>
    <n v="0"/>
    <n v="67"/>
    <n v="39"/>
    <n v="0"/>
    <n v="442.96"/>
    <n v="185.74"/>
    <m/>
    <n v="544.85419676676725"/>
    <n v="166.7634981586946"/>
    <n v="0"/>
    <n v="-1815.6930400000001"/>
    <n v="-761.3482600000001"/>
    <n v="0"/>
    <n v="-2233.3573525469792"/>
    <n v="-683.56357895248925"/>
  </r>
  <r>
    <s v="Sistema de Compensação"/>
    <x v="3"/>
    <x v="3"/>
    <x v="0"/>
    <x v="0"/>
    <x v="0"/>
    <x v="0"/>
    <x v="2"/>
    <x v="1"/>
    <n v="0"/>
    <n v="0"/>
    <n v="7.1440000000000001"/>
    <n v="7.1440000000000001"/>
    <n v="7.1440000000000001"/>
    <n v="7.1440000000000001"/>
    <n v="10"/>
    <x v="0"/>
    <n v="0"/>
    <n v="0"/>
    <n v="67"/>
    <n v="39"/>
    <n v="0"/>
    <n v="442.96"/>
    <n v="185.74"/>
    <m/>
    <n v="544.85419676676725"/>
    <n v="166.7634981586946"/>
    <n v="0"/>
    <n v="3164.5062399999997"/>
    <n v="1326.9265600000001"/>
    <n v="0"/>
    <n v="3892.4383817017851"/>
    <n v="1191.3584308457143"/>
  </r>
  <r>
    <s v="Sistema de Compensação"/>
    <x v="3"/>
    <x v="3"/>
    <x v="0"/>
    <x v="0"/>
    <x v="0"/>
    <x v="0"/>
    <x v="2"/>
    <x v="1"/>
    <n v="0"/>
    <n v="0"/>
    <n v="-0.90400000000000003"/>
    <n v="-0.90400000000000003"/>
    <n v="-0.90400000000000003"/>
    <n v="-0.90400000000000003"/>
    <n v="1"/>
    <x v="0"/>
    <n v="0"/>
    <n v="0"/>
    <n v="67"/>
    <n v="39"/>
    <n v="0"/>
    <n v="442.96"/>
    <n v="185.74"/>
    <m/>
    <n v="544.85419676676725"/>
    <n v="166.7634981586946"/>
    <n v="0"/>
    <n v="-400.43583999999998"/>
    <n v="-167.90896000000001"/>
    <n v="0"/>
    <n v="-492.54819387715759"/>
    <n v="-150.75420233545992"/>
  </r>
  <r>
    <s v="Regular"/>
    <x v="3"/>
    <x v="3"/>
    <x v="0"/>
    <x v="0"/>
    <x v="0"/>
    <x v="0"/>
    <x v="2"/>
    <x v="2"/>
    <n v="0"/>
    <n v="0"/>
    <n v="148.084"/>
    <n v="148.084"/>
    <n v="148.084"/>
    <n v="148.084"/>
    <n v="368"/>
    <x v="0"/>
    <n v="0"/>
    <n v="0"/>
    <n v="67"/>
    <n v="39"/>
    <n v="0"/>
    <n v="442.96"/>
    <n v="185.74"/>
    <m/>
    <n v="544.85419676676725"/>
    <n v="166.7634981586946"/>
    <n v="0"/>
    <n v="65595.288639999999"/>
    <n v="27505.122160000003"/>
    <n v="0"/>
    <n v="80684.188874009968"/>
    <n v="24695.005861332131"/>
  </r>
  <r>
    <s v="Sistema de Compensação"/>
    <x v="3"/>
    <x v="3"/>
    <x v="0"/>
    <x v="0"/>
    <x v="0"/>
    <x v="0"/>
    <x v="2"/>
    <x v="2"/>
    <n v="0"/>
    <n v="0"/>
    <n v="4.8929999999999998"/>
    <n v="4.8929999999999998"/>
    <n v="4.8929999999999998"/>
    <n v="4.8929999999999998"/>
    <n v="10"/>
    <x v="0"/>
    <n v="0"/>
    <n v="0"/>
    <n v="67"/>
    <n v="39"/>
    <n v="0"/>
    <n v="442.96"/>
    <n v="185.74"/>
    <m/>
    <n v="544.85419676676725"/>
    <n v="166.7634981586946"/>
    <n v="0"/>
    <n v="2167.40328"/>
    <n v="908.82582000000002"/>
    <n v="0"/>
    <n v="2665.971584779792"/>
    <n v="815.97379649049265"/>
  </r>
  <r>
    <s v="Regular"/>
    <x v="3"/>
    <x v="3"/>
    <x v="0"/>
    <x v="0"/>
    <x v="0"/>
    <x v="0"/>
    <x v="2"/>
    <x v="3"/>
    <n v="0"/>
    <n v="0"/>
    <n v="154.45699999999999"/>
    <n v="154.45699999999999"/>
    <n v="154.45699999999999"/>
    <n v="154.45699999999999"/>
    <n v="369"/>
    <x v="0"/>
    <n v="0"/>
    <n v="0"/>
    <n v="67"/>
    <n v="39"/>
    <n v="0"/>
    <n v="442.96"/>
    <n v="185.74"/>
    <m/>
    <n v="544.85419676676725"/>
    <n v="166.7634981586946"/>
    <n v="0"/>
    <n v="68418.272719999994"/>
    <n v="28688.84318"/>
    <n v="0"/>
    <n v="84156.544670004558"/>
    <n v="25757.789635097492"/>
  </r>
  <r>
    <s v="Sistema de Compensação"/>
    <x v="3"/>
    <x v="3"/>
    <x v="0"/>
    <x v="0"/>
    <x v="0"/>
    <x v="0"/>
    <x v="2"/>
    <x v="3"/>
    <n v="0"/>
    <n v="0"/>
    <n v="4.7809999999999997"/>
    <n v="4.7809999999999997"/>
    <n v="4.7809999999999997"/>
    <n v="4.7809999999999997"/>
    <n v="10"/>
    <x v="0"/>
    <n v="0"/>
    <n v="0"/>
    <n v="67"/>
    <n v="39"/>
    <n v="0"/>
    <n v="442.96"/>
    <n v="185.74"/>
    <m/>
    <n v="544.85419676676725"/>
    <n v="166.7634981586946"/>
    <n v="0"/>
    <n v="2117.7917599999996"/>
    <n v="888.02293999999995"/>
    <n v="0"/>
    <n v="2604.9479147419142"/>
    <n v="797.29628469671889"/>
  </r>
  <r>
    <s v="Regular"/>
    <x v="3"/>
    <x v="3"/>
    <x v="0"/>
    <x v="0"/>
    <x v="0"/>
    <x v="0"/>
    <x v="2"/>
    <x v="4"/>
    <n v="0"/>
    <n v="0"/>
    <n v="183.55799999999999"/>
    <n v="183.55799999999999"/>
    <n v="183.55799999999999"/>
    <n v="183.55799999999999"/>
    <n v="371"/>
    <x v="0"/>
    <n v="0"/>
    <n v="0"/>
    <n v="67"/>
    <n v="39"/>
    <n v="0"/>
    <n v="442.96"/>
    <n v="185.74"/>
    <m/>
    <n v="544.85419676676725"/>
    <n v="166.7634981586946"/>
    <n v="0"/>
    <n v="81308.851679999992"/>
    <n v="34094.062920000004"/>
    <n v="0"/>
    <n v="100012.34665011425"/>
    <n v="30610.774195013662"/>
  </r>
  <r>
    <s v="Refaturamento - Regular"/>
    <x v="3"/>
    <x v="3"/>
    <x v="0"/>
    <x v="0"/>
    <x v="0"/>
    <x v="0"/>
    <x v="2"/>
    <x v="4"/>
    <n v="0"/>
    <n v="0"/>
    <n v="2.2679999999999998"/>
    <n v="2.2679999999999998"/>
    <n v="2.2679999999999998"/>
    <n v="2.2679999999999998"/>
    <n v="0"/>
    <x v="0"/>
    <n v="0"/>
    <n v="0"/>
    <n v="67"/>
    <n v="39"/>
    <n v="0"/>
    <n v="442.96"/>
    <n v="185.74"/>
    <m/>
    <n v="544.85419676676725"/>
    <n v="166.7634981586946"/>
    <n v="0"/>
    <n v="1004.6332799999999"/>
    <n v="421.25831999999997"/>
    <n v="0"/>
    <n v="1235.729318267028"/>
    <n v="378.2196138239193"/>
  </r>
  <r>
    <s v="Sistema de Compensação"/>
    <x v="3"/>
    <x v="3"/>
    <x v="0"/>
    <x v="0"/>
    <x v="0"/>
    <x v="0"/>
    <x v="2"/>
    <x v="4"/>
    <n v="0"/>
    <n v="0"/>
    <n v="1.4890000000000001"/>
    <n v="1.4890000000000001"/>
    <n v="1.4890000000000001"/>
    <n v="1.4890000000000001"/>
    <n v="9"/>
    <x v="0"/>
    <n v="0"/>
    <n v="0"/>
    <n v="67"/>
    <n v="39"/>
    <n v="0"/>
    <n v="442.96"/>
    <n v="185.74"/>
    <m/>
    <n v="544.85419676676725"/>
    <n v="166.7634981586946"/>
    <n v="0"/>
    <n v="659.56744000000003"/>
    <n v="276.56686000000002"/>
    <n v="0"/>
    <n v="811.28789898571654"/>
    <n v="248.31084875829629"/>
  </r>
  <r>
    <s v="Regular"/>
    <x v="3"/>
    <x v="3"/>
    <x v="0"/>
    <x v="0"/>
    <x v="0"/>
    <x v="0"/>
    <x v="2"/>
    <x v="5"/>
    <n v="0"/>
    <n v="0"/>
    <n v="190.53700000000001"/>
    <n v="190.53700000000001"/>
    <n v="190.53700000000001"/>
    <n v="190.53700000000001"/>
    <n v="368"/>
    <x v="0"/>
    <n v="0"/>
    <n v="0"/>
    <n v="67"/>
    <n v="39"/>
    <n v="0"/>
    <n v="442.96"/>
    <n v="185.74"/>
    <m/>
    <n v="544.85419676676725"/>
    <n v="166.7634981586946"/>
    <n v="0"/>
    <n v="84400.269520000002"/>
    <n v="35390.342380000002"/>
    <n v="0"/>
    <n v="103814.88408934954"/>
    <n v="31774.616648663196"/>
  </r>
  <r>
    <s v="Sistema de Compensação"/>
    <x v="3"/>
    <x v="3"/>
    <x v="0"/>
    <x v="0"/>
    <x v="0"/>
    <x v="0"/>
    <x v="2"/>
    <x v="5"/>
    <n v="0"/>
    <n v="0"/>
    <n v="3.2589999999999999"/>
    <n v="3.2589999999999999"/>
    <n v="3.2589999999999999"/>
    <n v="3.2589999999999999"/>
    <n v="11"/>
    <x v="0"/>
    <n v="0"/>
    <n v="0"/>
    <n v="67"/>
    <n v="39"/>
    <n v="0"/>
    <n v="442.96"/>
    <n v="185.74"/>
    <m/>
    <n v="544.85419676676725"/>
    <n v="166.7634981586946"/>
    <n v="0"/>
    <n v="1443.60664"/>
    <n v="605.32666000000006"/>
    <n v="0"/>
    <n v="1775.6798272628944"/>
    <n v="543.48224049918565"/>
  </r>
  <r>
    <s v="Regular"/>
    <x v="3"/>
    <x v="3"/>
    <x v="0"/>
    <x v="0"/>
    <x v="0"/>
    <x v="0"/>
    <x v="2"/>
    <x v="6"/>
    <n v="0"/>
    <n v="0"/>
    <n v="174.095"/>
    <n v="174.095"/>
    <n v="174.095"/>
    <n v="174.095"/>
    <n v="365"/>
    <x v="0"/>
    <n v="0"/>
    <n v="0"/>
    <n v="67"/>
    <n v="39"/>
    <n v="0"/>
    <n v="442.96"/>
    <n v="185.74"/>
    <m/>
    <n v="544.85419676676725"/>
    <n v="166.7634981586946"/>
    <n v="0"/>
    <n v="77117.121199999994"/>
    <n v="32336.405300000002"/>
    <n v="0"/>
    <n v="94856.39138611035"/>
    <n v="29032.691211937938"/>
  </r>
  <r>
    <s v="Refaturamento - Regular"/>
    <x v="3"/>
    <x v="3"/>
    <x v="0"/>
    <x v="0"/>
    <x v="0"/>
    <x v="0"/>
    <x v="2"/>
    <x v="6"/>
    <n v="0"/>
    <n v="0"/>
    <n v="0.60699999999999998"/>
    <n v="0.60699999999999998"/>
    <n v="0.60699999999999998"/>
    <n v="0.60699999999999998"/>
    <n v="0"/>
    <x v="0"/>
    <n v="0"/>
    <n v="0"/>
    <n v="67"/>
    <n v="39"/>
    <n v="0"/>
    <n v="442.96"/>
    <n v="185.74"/>
    <m/>
    <n v="544.85419676676725"/>
    <n v="166.7634981586946"/>
    <n v="0"/>
    <n v="268.87671999999998"/>
    <n v="112.74418"/>
    <n v="0"/>
    <n v="330.72649743742772"/>
    <n v="101.22544338232763"/>
  </r>
  <r>
    <s v="Sistema de Compensação"/>
    <x v="3"/>
    <x v="3"/>
    <x v="0"/>
    <x v="0"/>
    <x v="0"/>
    <x v="0"/>
    <x v="2"/>
    <x v="6"/>
    <n v="0"/>
    <n v="0"/>
    <n v="3.4049999999999998"/>
    <n v="3.4049999999999998"/>
    <n v="3.4049999999999998"/>
    <n v="3.4049999999999998"/>
    <n v="13"/>
    <x v="0"/>
    <n v="0"/>
    <n v="0"/>
    <n v="67"/>
    <n v="39"/>
    <n v="0"/>
    <n v="442.96"/>
    <n v="185.74"/>
    <m/>
    <n v="544.85419676676725"/>
    <n v="166.7634981586946"/>
    <n v="0"/>
    <n v="1508.2787999999998"/>
    <n v="632.44470000000001"/>
    <n v="0"/>
    <n v="1855.2285399908424"/>
    <n v="567.82971123035509"/>
  </r>
  <r>
    <s v="Regular"/>
    <x v="3"/>
    <x v="3"/>
    <x v="0"/>
    <x v="0"/>
    <x v="0"/>
    <x v="0"/>
    <x v="2"/>
    <x v="7"/>
    <n v="0"/>
    <n v="0"/>
    <n v="152.637"/>
    <n v="152.637"/>
    <n v="152.637"/>
    <n v="152.637"/>
    <n v="362"/>
    <x v="0"/>
    <n v="0"/>
    <n v="0"/>
    <n v="67"/>
    <n v="39"/>
    <n v="0"/>
    <n v="442.96"/>
    <n v="185.74"/>
    <m/>
    <n v="544.85419676676725"/>
    <n v="166.7634981586946"/>
    <n v="0"/>
    <n v="67612.085519999993"/>
    <n v="28350.79638"/>
    <n v="0"/>
    <n v="83164.910031889056"/>
    <n v="25454.280068448668"/>
  </r>
  <r>
    <s v="Sistema de Compensação"/>
    <x v="3"/>
    <x v="3"/>
    <x v="0"/>
    <x v="0"/>
    <x v="0"/>
    <x v="0"/>
    <x v="2"/>
    <x v="7"/>
    <n v="0"/>
    <n v="0"/>
    <n v="6.9139999999999997"/>
    <n v="6.9139999999999997"/>
    <n v="6.9139999999999997"/>
    <n v="6.9139999999999997"/>
    <n v="14"/>
    <x v="0"/>
    <n v="0"/>
    <n v="0"/>
    <n v="67"/>
    <n v="39"/>
    <n v="0"/>
    <n v="442.96"/>
    <n v="185.74"/>
    <m/>
    <n v="544.85419676676725"/>
    <n v="166.7634981586946"/>
    <n v="0"/>
    <n v="3062.6254399999998"/>
    <n v="1284.2063599999999"/>
    <n v="0"/>
    <n v="3767.1219164454287"/>
    <n v="1153.0028262692144"/>
  </r>
  <r>
    <s v="Regular"/>
    <x v="3"/>
    <x v="3"/>
    <x v="0"/>
    <x v="0"/>
    <x v="0"/>
    <x v="0"/>
    <x v="2"/>
    <x v="8"/>
    <n v="0"/>
    <n v="0"/>
    <n v="142.82"/>
    <n v="142.82"/>
    <n v="142.82"/>
    <n v="142.82"/>
    <n v="358"/>
    <x v="0"/>
    <n v="0"/>
    <n v="0"/>
    <n v="67"/>
    <n v="39"/>
    <n v="0"/>
    <n v="442.96"/>
    <n v="185.74"/>
    <m/>
    <n v="544.85419676676725"/>
    <n v="166.7634981586946"/>
    <n v="0"/>
    <n v="63263.547199999994"/>
    <n v="26527.3868"/>
    <n v="0"/>
    <n v="77816.076382229701"/>
    <n v="23817.162807024761"/>
  </r>
  <r>
    <s v="Sistema de Compensação"/>
    <x v="3"/>
    <x v="3"/>
    <x v="0"/>
    <x v="0"/>
    <x v="0"/>
    <x v="0"/>
    <x v="2"/>
    <x v="8"/>
    <n v="0"/>
    <n v="0"/>
    <n v="4.97"/>
    <n v="4.97"/>
    <n v="4.97"/>
    <n v="4.97"/>
    <n v="12"/>
    <x v="0"/>
    <n v="0"/>
    <n v="0"/>
    <n v="67"/>
    <n v="39"/>
    <n v="0"/>
    <n v="442.96"/>
    <n v="185.74"/>
    <m/>
    <n v="544.85419676676725"/>
    <n v="166.7634981586946"/>
    <n v="0"/>
    <n v="2201.5111999999999"/>
    <n v="923.12779999999998"/>
    <n v="0"/>
    <n v="2707.9253579308329"/>
    <n v="828.81458584871211"/>
  </r>
  <r>
    <s v="Regular"/>
    <x v="3"/>
    <x v="3"/>
    <x v="0"/>
    <x v="0"/>
    <x v="0"/>
    <x v="0"/>
    <x v="2"/>
    <x v="9"/>
    <n v="0"/>
    <n v="0"/>
    <n v="141.81299999999999"/>
    <n v="141.81299999999999"/>
    <n v="141.81299999999999"/>
    <n v="141.81299999999999"/>
    <n v="359"/>
    <x v="0"/>
    <n v="0"/>
    <n v="0"/>
    <n v="67"/>
    <n v="39"/>
    <n v="0"/>
    <n v="442.96"/>
    <n v="185.74"/>
    <m/>
    <n v="544.85419676676725"/>
    <n v="166.7634981586946"/>
    <n v="0"/>
    <n v="62817.486479999992"/>
    <n v="26340.34662"/>
    <n v="0"/>
    <n v="77267.408206085558"/>
    <n v="23649.231964378956"/>
  </r>
  <r>
    <s v="Regular"/>
    <x v="3"/>
    <x v="3"/>
    <x v="0"/>
    <x v="0"/>
    <x v="0"/>
    <x v="0"/>
    <x v="2"/>
    <x v="10"/>
    <n v="0"/>
    <n v="0"/>
    <n v="118.15300000000001"/>
    <n v="118.15300000000001"/>
    <n v="118.15300000000001"/>
    <n v="118.15300000000001"/>
    <n v="350"/>
    <x v="0"/>
    <n v="0"/>
    <n v="0"/>
    <n v="67"/>
    <n v="39"/>
    <n v="0"/>
    <n v="442.96"/>
    <n v="185.74"/>
    <m/>
    <n v="544.85419676676725"/>
    <n v="166.7634981586946"/>
    <n v="0"/>
    <n v="52337.052880000003"/>
    <n v="21945.738220000003"/>
    <n v="0"/>
    <n v="64376.157910583854"/>
    <n v="19703.607597944243"/>
  </r>
  <r>
    <s v="Sistema de Compensação"/>
    <x v="3"/>
    <x v="3"/>
    <x v="0"/>
    <x v="0"/>
    <x v="0"/>
    <x v="0"/>
    <x v="2"/>
    <x v="10"/>
    <n v="0"/>
    <n v="0"/>
    <n v="4.8849999999999998"/>
    <n v="4.8849999999999998"/>
    <n v="4.8849999999999998"/>
    <n v="4.8849999999999998"/>
    <n v="13"/>
    <x v="0"/>
    <n v="0"/>
    <n v="0"/>
    <n v="67"/>
    <n v="39"/>
    <n v="0"/>
    <n v="442.96"/>
    <n v="185.74"/>
    <m/>
    <n v="544.85419676676725"/>
    <n v="166.7634981586946"/>
    <n v="0"/>
    <n v="2163.8595999999998"/>
    <n v="907.33990000000006"/>
    <n v="0"/>
    <n v="2661.6127512056578"/>
    <n v="814.63968850522315"/>
  </r>
  <r>
    <s v="Regular"/>
    <x v="3"/>
    <x v="3"/>
    <x v="0"/>
    <x v="0"/>
    <x v="0"/>
    <x v="0"/>
    <x v="2"/>
    <x v="11"/>
    <n v="0"/>
    <n v="0"/>
    <n v="132.239"/>
    <n v="132.239"/>
    <n v="132.239"/>
    <n v="132.239"/>
    <n v="352"/>
    <x v="0"/>
    <n v="0"/>
    <n v="0"/>
    <n v="67"/>
    <n v="39"/>
    <n v="0"/>
    <n v="442.96"/>
    <n v="185.74"/>
    <m/>
    <n v="544.85419676676725"/>
    <n v="166.7634981586946"/>
    <n v="0"/>
    <n v="58576.587439999996"/>
    <n v="24562.071860000004"/>
    <n v="0"/>
    <n v="72050.97412624053"/>
    <n v="22052.638233007616"/>
  </r>
  <r>
    <s v="Refaturamento - Regular"/>
    <x v="3"/>
    <x v="3"/>
    <x v="0"/>
    <x v="0"/>
    <x v="0"/>
    <x v="0"/>
    <x v="2"/>
    <x v="11"/>
    <n v="0"/>
    <n v="0"/>
    <n v="-0.224"/>
    <n v="-0.224"/>
    <n v="-0.224"/>
    <n v="-0.224"/>
    <n v="0"/>
    <x v="0"/>
    <n v="0"/>
    <n v="0"/>
    <n v="67"/>
    <n v="39"/>
    <n v="0"/>
    <n v="442.96"/>
    <n v="185.74"/>
    <m/>
    <n v="544.85419676676725"/>
    <n v="166.7634981586946"/>
    <n v="0"/>
    <n v="-99.223039999999997"/>
    <n v="-41.605760000000004"/>
    <n v="0"/>
    <n v="-122.04734007575587"/>
    <n v="-37.355023587547592"/>
  </r>
  <r>
    <s v="Sistema de Compensação"/>
    <x v="3"/>
    <x v="3"/>
    <x v="0"/>
    <x v="0"/>
    <x v="0"/>
    <x v="0"/>
    <x v="2"/>
    <x v="11"/>
    <n v="0"/>
    <n v="0"/>
    <n v="4.9050000000000002"/>
    <n v="4.9050000000000002"/>
    <n v="4.9050000000000002"/>
    <n v="4.9050000000000002"/>
    <n v="13"/>
    <x v="0"/>
    <n v="0"/>
    <n v="0"/>
    <n v="67"/>
    <n v="39"/>
    <n v="0"/>
    <n v="442.96"/>
    <n v="185.74"/>
    <m/>
    <n v="544.85419676676725"/>
    <n v="166.7634981586946"/>
    <n v="0"/>
    <n v="2172.7188000000001"/>
    <n v="911.05470000000014"/>
    <n v="0"/>
    <n v="2672.5098351409933"/>
    <n v="817.97495846839706"/>
  </r>
  <r>
    <s v="Regular"/>
    <x v="3"/>
    <x v="3"/>
    <x v="4"/>
    <x v="0"/>
    <x v="0"/>
    <x v="0"/>
    <x v="2"/>
    <x v="0"/>
    <n v="0"/>
    <n v="0"/>
    <n v="0.52700000000000002"/>
    <n v="0.52700000000000002"/>
    <n v="0.52700000000000002"/>
    <n v="0.52700000000000002"/>
    <n v="4"/>
    <x v="0"/>
    <n v="0"/>
    <n v="0"/>
    <n v="67"/>
    <n v="39"/>
    <n v="0"/>
    <n v="442.96"/>
    <n v="185.74"/>
    <m/>
    <n v="544.85419676676725"/>
    <n v="166.7634981586946"/>
    <n v="0"/>
    <n v="233.43992"/>
    <n v="97.884980000000013"/>
    <n v="0"/>
    <n v="287.13816169608634"/>
    <n v="87.884363529632054"/>
  </r>
  <r>
    <s v="Regular"/>
    <x v="3"/>
    <x v="3"/>
    <x v="4"/>
    <x v="0"/>
    <x v="0"/>
    <x v="0"/>
    <x v="2"/>
    <x v="1"/>
    <n v="0"/>
    <n v="0"/>
    <n v="0.504"/>
    <n v="0.504"/>
    <n v="0.504"/>
    <n v="0.504"/>
    <n v="4"/>
    <x v="0"/>
    <n v="0"/>
    <n v="0"/>
    <n v="67"/>
    <n v="39"/>
    <n v="0"/>
    <n v="442.96"/>
    <n v="185.74"/>
    <m/>
    <n v="544.85419676676725"/>
    <n v="166.7634981586946"/>
    <n v="0"/>
    <n v="223.25183999999999"/>
    <n v="93.612960000000001"/>
    <n v="0"/>
    <n v="274.60651517045068"/>
    <n v="84.048803071982078"/>
  </r>
  <r>
    <s v="Regular"/>
    <x v="3"/>
    <x v="3"/>
    <x v="4"/>
    <x v="0"/>
    <x v="0"/>
    <x v="0"/>
    <x v="2"/>
    <x v="2"/>
    <n v="0"/>
    <n v="0"/>
    <n v="0.48899999999999999"/>
    <n v="0.48899999999999999"/>
    <n v="0.48899999999999999"/>
    <n v="0.48899999999999999"/>
    <n v="4"/>
    <x v="0"/>
    <n v="0"/>
    <n v="0"/>
    <n v="67"/>
    <n v="39"/>
    <n v="0"/>
    <n v="442.96"/>
    <n v="185.74"/>
    <m/>
    <n v="544.85419676676725"/>
    <n v="166.7634981586946"/>
    <n v="0"/>
    <n v="216.60744"/>
    <n v="90.826859999999996"/>
    <n v="0"/>
    <n v="266.43370221894918"/>
    <n v="81.547350599601657"/>
  </r>
  <r>
    <s v="Regular"/>
    <x v="3"/>
    <x v="3"/>
    <x v="4"/>
    <x v="0"/>
    <x v="0"/>
    <x v="0"/>
    <x v="2"/>
    <x v="3"/>
    <n v="0"/>
    <n v="0"/>
    <n v="0.48699999999999999"/>
    <n v="0.48699999999999999"/>
    <n v="0.48699999999999999"/>
    <n v="0.48699999999999999"/>
    <n v="4"/>
    <x v="0"/>
    <n v="0"/>
    <n v="0"/>
    <n v="67"/>
    <n v="39"/>
    <n v="0"/>
    <n v="442.96"/>
    <n v="185.74"/>
    <m/>
    <n v="544.85419676676725"/>
    <n v="166.7634981586946"/>
    <n v="0"/>
    <n v="215.72152"/>
    <n v="90.455380000000005"/>
    <n v="0"/>
    <n v="265.34399382541562"/>
    <n v="81.213823603284268"/>
  </r>
  <r>
    <s v="Regular"/>
    <x v="3"/>
    <x v="3"/>
    <x v="4"/>
    <x v="0"/>
    <x v="0"/>
    <x v="0"/>
    <x v="2"/>
    <x v="4"/>
    <n v="0"/>
    <n v="0"/>
    <n v="0.74099999999999999"/>
    <n v="0.74099999999999999"/>
    <n v="0.74099999999999999"/>
    <n v="0.74099999999999999"/>
    <n v="4"/>
    <x v="0"/>
    <n v="0"/>
    <n v="0"/>
    <n v="67"/>
    <n v="39"/>
    <n v="0"/>
    <n v="442.96"/>
    <n v="185.74"/>
    <m/>
    <n v="544.85419676676725"/>
    <n v="166.7634981586946"/>
    <n v="0"/>
    <n v="328.23336"/>
    <n v="137.63334"/>
    <n v="0"/>
    <n v="403.73695980417455"/>
    <n v="123.5717521355927"/>
  </r>
  <r>
    <s v="Regular"/>
    <x v="3"/>
    <x v="3"/>
    <x v="4"/>
    <x v="0"/>
    <x v="0"/>
    <x v="0"/>
    <x v="2"/>
    <x v="5"/>
    <n v="0"/>
    <n v="0"/>
    <n v="0.98899999999999999"/>
    <n v="0.98899999999999999"/>
    <n v="0.98899999999999999"/>
    <n v="0.98899999999999999"/>
    <n v="4"/>
    <x v="0"/>
    <n v="0"/>
    <n v="0"/>
    <n v="67"/>
    <n v="39"/>
    <n v="0"/>
    <n v="442.96"/>
    <n v="185.74"/>
    <m/>
    <n v="544.85419676676725"/>
    <n v="166.7634981586946"/>
    <n v="0"/>
    <n v="438.08743999999996"/>
    <n v="183.69686000000002"/>
    <n v="0"/>
    <n v="538.8608006023328"/>
    <n v="164.92909967894897"/>
  </r>
  <r>
    <s v="Regular"/>
    <x v="3"/>
    <x v="3"/>
    <x v="4"/>
    <x v="0"/>
    <x v="0"/>
    <x v="0"/>
    <x v="2"/>
    <x v="6"/>
    <n v="0"/>
    <n v="0"/>
    <n v="0.78800000000000003"/>
    <n v="0.78800000000000003"/>
    <n v="0.78800000000000003"/>
    <n v="0.78800000000000003"/>
    <n v="4"/>
    <x v="0"/>
    <n v="0"/>
    <n v="0"/>
    <n v="67"/>
    <n v="39"/>
    <n v="0"/>
    <n v="442.96"/>
    <n v="185.74"/>
    <m/>
    <n v="544.85419676676725"/>
    <n v="166.7634981586946"/>
    <n v="0"/>
    <n v="349.05248"/>
    <n v="146.36312000000001"/>
    <n v="0"/>
    <n v="429.3451070522126"/>
    <n v="131.40963654905136"/>
  </r>
  <r>
    <s v="Regular"/>
    <x v="3"/>
    <x v="3"/>
    <x v="4"/>
    <x v="0"/>
    <x v="0"/>
    <x v="0"/>
    <x v="2"/>
    <x v="7"/>
    <n v="0"/>
    <n v="0"/>
    <n v="0.55900000000000005"/>
    <n v="0.55900000000000005"/>
    <n v="0.55900000000000005"/>
    <n v="0.55900000000000005"/>
    <n v="4"/>
    <x v="0"/>
    <n v="0"/>
    <n v="0"/>
    <n v="67"/>
    <n v="39"/>
    <n v="0"/>
    <n v="442.96"/>
    <n v="185.74"/>
    <m/>
    <n v="544.85419676676725"/>
    <n v="166.7634981586946"/>
    <n v="0"/>
    <n v="247.61464000000001"/>
    <n v="103.82866000000001"/>
    <n v="0"/>
    <n v="304.5734959926229"/>
    <n v="93.220795470710286"/>
  </r>
  <r>
    <s v="Regular"/>
    <x v="3"/>
    <x v="3"/>
    <x v="4"/>
    <x v="0"/>
    <x v="0"/>
    <x v="0"/>
    <x v="2"/>
    <x v="8"/>
    <n v="0"/>
    <n v="0"/>
    <n v="0.50600000000000001"/>
    <n v="0.50600000000000001"/>
    <n v="0.50600000000000001"/>
    <n v="0.50600000000000001"/>
    <n v="4"/>
    <x v="0"/>
    <n v="0"/>
    <n v="0"/>
    <n v="67"/>
    <n v="39"/>
    <n v="0"/>
    <n v="442.96"/>
    <n v="185.74"/>
    <m/>
    <n v="544.85419676676725"/>
    <n v="166.7634981586946"/>
    <n v="0"/>
    <n v="224.13775999999999"/>
    <n v="93.984440000000006"/>
    <n v="0"/>
    <n v="275.69622356398423"/>
    <n v="84.382330068299467"/>
  </r>
  <r>
    <s v="Regular"/>
    <x v="3"/>
    <x v="3"/>
    <x v="4"/>
    <x v="0"/>
    <x v="0"/>
    <x v="0"/>
    <x v="2"/>
    <x v="9"/>
    <n v="0"/>
    <n v="0"/>
    <n v="0.69299999999999995"/>
    <n v="0.69299999999999995"/>
    <n v="0.69299999999999995"/>
    <n v="0.69299999999999995"/>
    <n v="4"/>
    <x v="0"/>
    <n v="0"/>
    <n v="0"/>
    <n v="67"/>
    <n v="39"/>
    <n v="0"/>
    <n v="442.96"/>
    <n v="185.74"/>
    <m/>
    <n v="544.85419676676725"/>
    <n v="166.7634981586946"/>
    <n v="0"/>
    <n v="306.97127999999998"/>
    <n v="128.71781999999999"/>
    <n v="0"/>
    <n v="377.58395835936966"/>
    <n v="115.56710422397535"/>
  </r>
  <r>
    <s v="Regular"/>
    <x v="3"/>
    <x v="3"/>
    <x v="4"/>
    <x v="0"/>
    <x v="0"/>
    <x v="0"/>
    <x v="2"/>
    <x v="10"/>
    <n v="0"/>
    <n v="0"/>
    <n v="0.58499999999999996"/>
    <n v="0.58499999999999996"/>
    <n v="0.58499999999999996"/>
    <n v="0.58499999999999996"/>
    <n v="4"/>
    <x v="0"/>
    <n v="0"/>
    <n v="0"/>
    <n v="67"/>
    <n v="39"/>
    <n v="0"/>
    <n v="442.96"/>
    <n v="185.74"/>
    <m/>
    <n v="544.85419676676725"/>
    <n v="166.7634981586946"/>
    <n v="0"/>
    <n v="259.13159999999999"/>
    <n v="108.6579"/>
    <n v="0"/>
    <n v="318.73970510855884"/>
    <n v="97.556646422836337"/>
  </r>
  <r>
    <s v="Regular"/>
    <x v="3"/>
    <x v="3"/>
    <x v="4"/>
    <x v="0"/>
    <x v="0"/>
    <x v="0"/>
    <x v="2"/>
    <x v="11"/>
    <n v="0"/>
    <n v="0"/>
    <n v="0.6"/>
    <n v="0.6"/>
    <n v="0.6"/>
    <n v="0.6"/>
    <n v="4"/>
    <x v="0"/>
    <n v="0"/>
    <n v="0"/>
    <n v="67"/>
    <n v="39"/>
    <n v="0"/>
    <n v="442.96"/>
    <n v="185.74"/>
    <m/>
    <n v="544.85419676676725"/>
    <n v="166.7634981586946"/>
    <n v="0"/>
    <n v="265.77599999999995"/>
    <n v="111.444"/>
    <n v="0"/>
    <n v="326.91251806006034"/>
    <n v="100.05809889521676"/>
  </r>
  <r>
    <s v="Regular"/>
    <x v="3"/>
    <x v="3"/>
    <x v="1"/>
    <x v="0"/>
    <x v="0"/>
    <x v="0"/>
    <x v="2"/>
    <x v="0"/>
    <n v="0"/>
    <n v="0"/>
    <n v="42.145000000000003"/>
    <n v="42.145000000000003"/>
    <n v="42.145000000000003"/>
    <n v="42.145000000000003"/>
    <n v="51"/>
    <x v="0"/>
    <n v="0"/>
    <n v="0"/>
    <n v="67"/>
    <n v="39"/>
    <n v="0"/>
    <n v="442.96"/>
    <n v="185.74"/>
    <m/>
    <n v="544.85419676676725"/>
    <n v="166.7634981586946"/>
    <n v="0"/>
    <n v="18668.549200000001"/>
    <n v="7828.0123000000012"/>
    <n v="0"/>
    <n v="22962.880122735409"/>
    <n v="7028.2476298981846"/>
  </r>
  <r>
    <s v="Sistema de Compensação"/>
    <x v="3"/>
    <x v="3"/>
    <x v="1"/>
    <x v="0"/>
    <x v="0"/>
    <x v="0"/>
    <x v="2"/>
    <x v="0"/>
    <n v="0"/>
    <n v="0"/>
    <n v="104.965"/>
    <n v="104.965"/>
    <n v="104.965"/>
    <n v="104.965"/>
    <n v="2"/>
    <x v="0"/>
    <n v="0"/>
    <n v="0"/>
    <n v="67"/>
    <n v="39"/>
    <n v="0"/>
    <n v="442.96"/>
    <n v="185.74"/>
    <m/>
    <n v="544.85419676676725"/>
    <n v="166.7634981586946"/>
    <n v="0"/>
    <n v="46495.296399999999"/>
    <n v="19496.199100000002"/>
    <n v="0"/>
    <n v="57190.620763623723"/>
    <n v="17504.33058422738"/>
  </r>
  <r>
    <s v="Sistema de Compensação"/>
    <x v="3"/>
    <x v="3"/>
    <x v="1"/>
    <x v="0"/>
    <x v="0"/>
    <x v="0"/>
    <x v="2"/>
    <x v="0"/>
    <n v="0"/>
    <n v="0"/>
    <n v="-99.763000000000005"/>
    <n v="-99.763000000000005"/>
    <n v="-99.763000000000005"/>
    <n v="-99.763000000000005"/>
    <n v="1"/>
    <x v="0"/>
    <n v="0"/>
    <n v="0"/>
    <n v="67"/>
    <n v="39"/>
    <n v="0"/>
    <n v="442.96"/>
    <n v="185.74"/>
    <m/>
    <n v="544.85419676676725"/>
    <n v="166.7634981586946"/>
    <n v="0"/>
    <n v="-44191.018479999999"/>
    <n v="-18529.979620000002"/>
    <n v="0"/>
    <n v="-54356.289232043004"/>
    <n v="-16636.826866805852"/>
  </r>
  <r>
    <s v="Regular"/>
    <x v="3"/>
    <x v="3"/>
    <x v="1"/>
    <x v="0"/>
    <x v="0"/>
    <x v="0"/>
    <x v="2"/>
    <x v="1"/>
    <n v="0"/>
    <n v="0"/>
    <n v="45.834000000000003"/>
    <n v="45.834000000000003"/>
    <n v="45.834000000000003"/>
    <n v="45.834000000000003"/>
    <n v="50"/>
    <x v="0"/>
    <n v="0"/>
    <n v="0"/>
    <n v="67"/>
    <n v="39"/>
    <n v="0"/>
    <n v="442.96"/>
    <n v="185.74"/>
    <m/>
    <n v="544.85419676676725"/>
    <n v="166.7634981586946"/>
    <n v="0"/>
    <n v="20302.628639999999"/>
    <n v="8513.2071600000017"/>
    <n v="0"/>
    <n v="24972.847254608012"/>
    <n v="7643.4381746056088"/>
  </r>
  <r>
    <s v="Sistema de Compensação"/>
    <x v="3"/>
    <x v="3"/>
    <x v="1"/>
    <x v="0"/>
    <x v="0"/>
    <x v="0"/>
    <x v="2"/>
    <x v="1"/>
    <n v="0"/>
    <n v="0"/>
    <n v="3.6989999999999998"/>
    <n v="3.6989999999999998"/>
    <n v="3.6989999999999998"/>
    <n v="3.6989999999999998"/>
    <n v="2"/>
    <x v="0"/>
    <n v="0"/>
    <n v="0"/>
    <n v="67"/>
    <n v="39"/>
    <n v="0"/>
    <n v="442.96"/>
    <n v="185.74"/>
    <m/>
    <n v="544.85419676676725"/>
    <n v="166.7634981586946"/>
    <n v="0"/>
    <n v="1638.5090399999999"/>
    <n v="687.05226000000005"/>
    <n v="0"/>
    <n v="2015.4156738402719"/>
    <n v="616.85817968901131"/>
  </r>
  <r>
    <s v="Regular"/>
    <x v="3"/>
    <x v="3"/>
    <x v="1"/>
    <x v="0"/>
    <x v="0"/>
    <x v="0"/>
    <x v="2"/>
    <x v="2"/>
    <n v="0"/>
    <n v="0"/>
    <n v="41.173000000000002"/>
    <n v="41.173000000000002"/>
    <n v="41.173000000000002"/>
    <n v="41.173000000000002"/>
    <n v="48"/>
    <x v="0"/>
    <n v="0"/>
    <n v="0"/>
    <n v="67"/>
    <n v="39"/>
    <n v="0"/>
    <n v="442.96"/>
    <n v="185.74"/>
    <m/>
    <n v="544.85419676676725"/>
    <n v="166.7634981586946"/>
    <n v="0"/>
    <n v="18237.99208"/>
    <n v="7647.4730200000004"/>
    <n v="0"/>
    <n v="22433.281843478107"/>
    <n v="6866.1535096879334"/>
  </r>
  <r>
    <s v="Sistema de Compensação"/>
    <x v="3"/>
    <x v="3"/>
    <x v="1"/>
    <x v="0"/>
    <x v="0"/>
    <x v="0"/>
    <x v="2"/>
    <x v="2"/>
    <n v="0"/>
    <n v="0"/>
    <n v="2.7549999999999999"/>
    <n v="2.7549999999999999"/>
    <n v="2.7549999999999999"/>
    <n v="2.7549999999999999"/>
    <n v="3"/>
    <x v="0"/>
    <n v="0"/>
    <n v="0"/>
    <n v="67"/>
    <n v="39"/>
    <n v="0"/>
    <n v="442.96"/>
    <n v="185.74"/>
    <m/>
    <n v="544.85419676676725"/>
    <n v="166.7634981586946"/>
    <n v="0"/>
    <n v="1220.3547999999998"/>
    <n v="511.71370000000002"/>
    <n v="0"/>
    <n v="1501.0733120924438"/>
    <n v="459.43343742720361"/>
  </r>
  <r>
    <s v="Regular"/>
    <x v="3"/>
    <x v="3"/>
    <x v="1"/>
    <x v="0"/>
    <x v="0"/>
    <x v="0"/>
    <x v="2"/>
    <x v="3"/>
    <n v="0"/>
    <n v="0"/>
    <n v="37.765999999999998"/>
    <n v="37.765999999999998"/>
    <n v="37.765999999999998"/>
    <n v="37.765999999999998"/>
    <n v="47"/>
    <x v="0"/>
    <n v="0"/>
    <n v="0"/>
    <n v="67"/>
    <n v="39"/>
    <n v="0"/>
    <n v="442.96"/>
    <n v="185.74"/>
    <m/>
    <n v="544.85419676676725"/>
    <n v="166.7634981586946"/>
    <n v="0"/>
    <n v="16728.827359999999"/>
    <n v="7014.6568399999996"/>
    <n v="0"/>
    <n v="20576.96359509373"/>
    <n v="6297.9902714612599"/>
  </r>
  <r>
    <s v="Sistema de Compensação"/>
    <x v="3"/>
    <x v="3"/>
    <x v="1"/>
    <x v="0"/>
    <x v="0"/>
    <x v="0"/>
    <x v="2"/>
    <x v="3"/>
    <n v="0"/>
    <n v="0"/>
    <n v="0.63300000000000001"/>
    <n v="0.63300000000000001"/>
    <n v="0.63300000000000001"/>
    <n v="0.63300000000000001"/>
    <n v="3"/>
    <x v="0"/>
    <n v="0"/>
    <n v="0"/>
    <n v="67"/>
    <n v="39"/>
    <n v="0"/>
    <n v="442.96"/>
    <n v="185.74"/>
    <m/>
    <n v="544.85419676676725"/>
    <n v="166.7634981586946"/>
    <n v="0"/>
    <n v="280.39368000000002"/>
    <n v="117.57342000000001"/>
    <n v="0"/>
    <n v="344.89270655336367"/>
    <n v="105.56129433445369"/>
  </r>
  <r>
    <s v="Regular"/>
    <x v="3"/>
    <x v="3"/>
    <x v="1"/>
    <x v="0"/>
    <x v="0"/>
    <x v="0"/>
    <x v="2"/>
    <x v="4"/>
    <n v="0"/>
    <n v="0"/>
    <n v="37.445999999999998"/>
    <n v="37.445999999999998"/>
    <n v="37.445999999999998"/>
    <n v="37.445999999999998"/>
    <n v="47"/>
    <x v="0"/>
    <n v="0"/>
    <n v="0"/>
    <n v="67"/>
    <n v="39"/>
    <n v="0"/>
    <n v="442.96"/>
    <n v="185.74"/>
    <m/>
    <n v="544.85419676676725"/>
    <n v="166.7634981586946"/>
    <n v="0"/>
    <n v="16587.080159999998"/>
    <n v="6955.2200400000002"/>
    <n v="0"/>
    <n v="20402.610252128365"/>
    <n v="6244.6259520504782"/>
  </r>
  <r>
    <s v="Sistema de Compensação"/>
    <x v="3"/>
    <x v="3"/>
    <x v="1"/>
    <x v="0"/>
    <x v="0"/>
    <x v="0"/>
    <x v="2"/>
    <x v="4"/>
    <n v="0"/>
    <n v="0"/>
    <n v="0.3"/>
    <n v="0.3"/>
    <n v="0.3"/>
    <n v="0.3"/>
    <n v="3"/>
    <x v="0"/>
    <n v="0"/>
    <n v="0"/>
    <n v="67"/>
    <n v="39"/>
    <n v="0"/>
    <n v="442.96"/>
    <n v="185.74"/>
    <m/>
    <n v="544.85419676676725"/>
    <n v="166.7634981586946"/>
    <n v="0"/>
    <n v="132.88799999999998"/>
    <n v="55.722000000000001"/>
    <n v="0"/>
    <n v="163.45625903003017"/>
    <n v="50.029049447608379"/>
  </r>
  <r>
    <s v="Regular"/>
    <x v="3"/>
    <x v="3"/>
    <x v="1"/>
    <x v="0"/>
    <x v="0"/>
    <x v="0"/>
    <x v="2"/>
    <x v="5"/>
    <n v="0"/>
    <n v="0"/>
    <n v="38.561999999999998"/>
    <n v="38.561999999999998"/>
    <n v="38.561999999999998"/>
    <n v="38.561999999999998"/>
    <n v="46"/>
    <x v="0"/>
    <n v="0"/>
    <n v="0"/>
    <n v="67"/>
    <n v="39"/>
    <n v="0"/>
    <n v="442.96"/>
    <n v="185.74"/>
    <m/>
    <n v="544.85419676676725"/>
    <n v="166.7634981586946"/>
    <n v="0"/>
    <n v="17081.423519999997"/>
    <n v="7162.5058799999997"/>
    <n v="0"/>
    <n v="21010.667535720077"/>
    <n v="6430.7340159955811"/>
  </r>
  <r>
    <s v="Sistema de Compensação"/>
    <x v="3"/>
    <x v="3"/>
    <x v="1"/>
    <x v="0"/>
    <x v="0"/>
    <x v="0"/>
    <x v="2"/>
    <x v="5"/>
    <n v="0"/>
    <n v="0"/>
    <n v="0.3"/>
    <n v="0.3"/>
    <n v="0.3"/>
    <n v="0.3"/>
    <n v="3"/>
    <x v="0"/>
    <n v="0"/>
    <n v="0"/>
    <n v="67"/>
    <n v="39"/>
    <n v="0"/>
    <n v="442.96"/>
    <n v="185.74"/>
    <m/>
    <n v="544.85419676676725"/>
    <n v="166.7634981586946"/>
    <n v="0"/>
    <n v="132.88799999999998"/>
    <n v="55.722000000000001"/>
    <n v="0"/>
    <n v="163.45625903003017"/>
    <n v="50.029049447608379"/>
  </r>
  <r>
    <s v="Regular"/>
    <x v="3"/>
    <x v="3"/>
    <x v="1"/>
    <x v="0"/>
    <x v="0"/>
    <x v="0"/>
    <x v="2"/>
    <x v="6"/>
    <n v="0"/>
    <n v="0"/>
    <n v="38.768999999999998"/>
    <n v="38.768999999999998"/>
    <n v="38.768999999999998"/>
    <n v="38.768999999999998"/>
    <n v="44"/>
    <x v="0"/>
    <n v="0"/>
    <n v="0"/>
    <n v="67"/>
    <n v="39"/>
    <n v="0"/>
    <n v="442.96"/>
    <n v="185.74"/>
    <m/>
    <n v="544.85419676676725"/>
    <n v="166.7634981586946"/>
    <n v="0"/>
    <n v="17173.116239999999"/>
    <n v="7200.95406"/>
    <n v="0"/>
    <n v="21123.452354450797"/>
    <n v="6465.254060114431"/>
  </r>
  <r>
    <s v="Sistema de Compensação"/>
    <x v="3"/>
    <x v="3"/>
    <x v="1"/>
    <x v="0"/>
    <x v="0"/>
    <x v="0"/>
    <x v="2"/>
    <x v="6"/>
    <n v="0"/>
    <n v="0"/>
    <n v="0.3"/>
    <n v="0.3"/>
    <n v="0.3"/>
    <n v="0.3"/>
    <n v="3"/>
    <x v="0"/>
    <n v="0"/>
    <n v="0"/>
    <n v="67"/>
    <n v="39"/>
    <n v="0"/>
    <n v="442.96"/>
    <n v="185.74"/>
    <m/>
    <n v="544.85419676676725"/>
    <n v="166.7634981586946"/>
    <n v="0"/>
    <n v="132.88799999999998"/>
    <n v="55.722000000000001"/>
    <n v="0"/>
    <n v="163.45625903003017"/>
    <n v="50.029049447608379"/>
  </r>
  <r>
    <s v="Regular"/>
    <x v="3"/>
    <x v="3"/>
    <x v="1"/>
    <x v="0"/>
    <x v="0"/>
    <x v="0"/>
    <x v="2"/>
    <x v="7"/>
    <n v="0"/>
    <n v="0"/>
    <n v="36.091000000000001"/>
    <n v="36.091000000000001"/>
    <n v="36.091000000000001"/>
    <n v="36.091000000000001"/>
    <n v="42"/>
    <x v="0"/>
    <n v="0"/>
    <n v="0"/>
    <n v="67"/>
    <n v="39"/>
    <n v="0"/>
    <n v="442.96"/>
    <n v="185.74"/>
    <m/>
    <n v="544.85419676676725"/>
    <n v="166.7634981586946"/>
    <n v="0"/>
    <n v="15986.869360000001"/>
    <n v="6703.5423400000009"/>
    <n v="0"/>
    <n v="19664.332815509399"/>
    <n v="6018.6614120454469"/>
  </r>
  <r>
    <s v="Sistema de Compensação"/>
    <x v="3"/>
    <x v="3"/>
    <x v="1"/>
    <x v="0"/>
    <x v="0"/>
    <x v="0"/>
    <x v="2"/>
    <x v="7"/>
    <n v="0"/>
    <n v="0"/>
    <n v="2.2410000000000001"/>
    <n v="2.2410000000000001"/>
    <n v="2.2410000000000001"/>
    <n v="2.2410000000000001"/>
    <n v="3"/>
    <x v="0"/>
    <n v="0"/>
    <n v="0"/>
    <n v="67"/>
    <n v="39"/>
    <n v="0"/>
    <n v="442.96"/>
    <n v="185.74"/>
    <m/>
    <n v="544.85419676676725"/>
    <n v="166.7634981586946"/>
    <n v="0"/>
    <n v="992.67336"/>
    <n v="416.24334000000005"/>
    <n v="0"/>
    <n v="1221.0182549543254"/>
    <n v="373.71699937363462"/>
  </r>
  <r>
    <s v="Regular"/>
    <x v="3"/>
    <x v="3"/>
    <x v="1"/>
    <x v="0"/>
    <x v="0"/>
    <x v="0"/>
    <x v="2"/>
    <x v="8"/>
    <n v="0"/>
    <n v="0"/>
    <n v="36.68"/>
    <n v="36.68"/>
    <n v="36.68"/>
    <n v="36.68"/>
    <n v="42"/>
    <x v="0"/>
    <n v="0"/>
    <n v="0"/>
    <n v="67"/>
    <n v="39"/>
    <n v="0"/>
    <n v="442.96"/>
    <n v="185.74"/>
    <m/>
    <n v="544.85419676676725"/>
    <n v="166.7634981586946"/>
    <n v="0"/>
    <n v="16247.772799999999"/>
    <n v="6812.9432000000006"/>
    <n v="0"/>
    <n v="19985.251937405021"/>
    <n v="6116.8851124609182"/>
  </r>
  <r>
    <s v="Sistema de Compensação"/>
    <x v="3"/>
    <x v="3"/>
    <x v="1"/>
    <x v="0"/>
    <x v="0"/>
    <x v="0"/>
    <x v="2"/>
    <x v="8"/>
    <n v="0"/>
    <n v="0"/>
    <n v="4.1260000000000003"/>
    <n v="4.1260000000000003"/>
    <n v="4.1260000000000003"/>
    <n v="4.1260000000000003"/>
    <n v="3"/>
    <x v="0"/>
    <n v="0"/>
    <n v="0"/>
    <n v="67"/>
    <n v="39"/>
    <n v="0"/>
    <n v="442.96"/>
    <n v="185.74"/>
    <m/>
    <n v="544.85419676676725"/>
    <n v="166.7634981586946"/>
    <n v="0"/>
    <n v="1827.6529600000001"/>
    <n v="766.36324000000013"/>
    <n v="0"/>
    <n v="2248.0684158596819"/>
    <n v="688.06619340277393"/>
  </r>
  <r>
    <s v="Regular"/>
    <x v="3"/>
    <x v="3"/>
    <x v="1"/>
    <x v="0"/>
    <x v="0"/>
    <x v="0"/>
    <x v="2"/>
    <x v="9"/>
    <n v="0"/>
    <n v="0"/>
    <n v="40.014000000000003"/>
    <n v="40.014000000000003"/>
    <n v="40.014000000000003"/>
    <n v="40.014000000000003"/>
    <n v="44"/>
    <x v="0"/>
    <n v="0"/>
    <n v="0"/>
    <n v="67"/>
    <n v="39"/>
    <n v="0"/>
    <n v="442.96"/>
    <n v="185.74"/>
    <m/>
    <n v="544.85419676676725"/>
    <n v="166.7634981586946"/>
    <n v="0"/>
    <n v="17724.601440000002"/>
    <n v="7432.2003600000007"/>
    <n v="0"/>
    <n v="21801.795829425428"/>
    <n v="6672.8746153220063"/>
  </r>
  <r>
    <s v="Regular"/>
    <x v="3"/>
    <x v="3"/>
    <x v="1"/>
    <x v="0"/>
    <x v="0"/>
    <x v="0"/>
    <x v="2"/>
    <x v="10"/>
    <n v="0"/>
    <n v="0"/>
    <n v="32.512999999999998"/>
    <n v="32.512999999999998"/>
    <n v="32.512999999999998"/>
    <n v="32.512999999999998"/>
    <n v="44"/>
    <x v="0"/>
    <n v="0"/>
    <n v="0"/>
    <n v="67"/>
    <n v="39"/>
    <n v="0"/>
    <n v="442.96"/>
    <n v="185.74"/>
    <m/>
    <n v="544.85419676676725"/>
    <n v="166.7634981586946"/>
    <n v="0"/>
    <n v="14401.958479999999"/>
    <n v="6038.9646199999997"/>
    <n v="0"/>
    <n v="17714.844499477902"/>
    <n v="5421.9816156336374"/>
  </r>
  <r>
    <s v="Sistema de Compensação"/>
    <x v="3"/>
    <x v="3"/>
    <x v="1"/>
    <x v="0"/>
    <x v="0"/>
    <x v="0"/>
    <x v="2"/>
    <x v="10"/>
    <n v="0"/>
    <n v="0"/>
    <n v="6.4180000000000001"/>
    <n v="6.4180000000000001"/>
    <n v="6.4180000000000001"/>
    <n v="6.4180000000000001"/>
    <n v="3"/>
    <x v="0"/>
    <n v="0"/>
    <n v="0"/>
    <n v="67"/>
    <n v="39"/>
    <n v="0"/>
    <n v="442.96"/>
    <n v="185.74"/>
    <m/>
    <n v="544.85419676676725"/>
    <n v="166.7634981586946"/>
    <n v="0"/>
    <n v="2842.9172800000001"/>
    <n v="1192.0793200000001"/>
    <n v="0"/>
    <n v="3496.8742348491123"/>
    <n v="1070.288131182502"/>
  </r>
  <r>
    <s v="Regular"/>
    <x v="3"/>
    <x v="3"/>
    <x v="1"/>
    <x v="0"/>
    <x v="0"/>
    <x v="0"/>
    <x v="2"/>
    <x v="11"/>
    <n v="0"/>
    <n v="0"/>
    <n v="39.868000000000002"/>
    <n v="39.868000000000002"/>
    <n v="39.868000000000002"/>
    <n v="39.868000000000002"/>
    <n v="44"/>
    <x v="0"/>
    <n v="0"/>
    <n v="0"/>
    <n v="67"/>
    <n v="39"/>
    <n v="0"/>
    <n v="442.96"/>
    <n v="185.74"/>
    <m/>
    <n v="544.85419676676725"/>
    <n v="166.7634981586946"/>
    <n v="0"/>
    <n v="17659.92928"/>
    <n v="7405.0823200000004"/>
    <n v="0"/>
    <n v="21722.247116697479"/>
    <n v="6648.5271445908365"/>
  </r>
  <r>
    <s v="Sistema de Compensação"/>
    <x v="3"/>
    <x v="3"/>
    <x v="1"/>
    <x v="0"/>
    <x v="0"/>
    <x v="0"/>
    <x v="2"/>
    <x v="11"/>
    <n v="0"/>
    <n v="0"/>
    <n v="7.0250000000000004"/>
    <n v="7.0250000000000004"/>
    <n v="7.0250000000000004"/>
    <n v="7.0250000000000004"/>
    <n v="3"/>
    <x v="0"/>
    <n v="0"/>
    <n v="0"/>
    <n v="67"/>
    <n v="39"/>
    <n v="0"/>
    <n v="442.96"/>
    <n v="185.74"/>
    <m/>
    <n v="544.85419676676725"/>
    <n v="166.7634981586946"/>
    <n v="0"/>
    <n v="3111.7939999999999"/>
    <n v="1304.8235000000002"/>
    <n v="0"/>
    <n v="3827.6007322865403"/>
    <n v="1171.5135745648297"/>
  </r>
  <r>
    <s v="Regular"/>
    <x v="3"/>
    <x v="3"/>
    <x v="5"/>
    <x v="0"/>
    <x v="0"/>
    <x v="0"/>
    <x v="2"/>
    <x v="0"/>
    <n v="0"/>
    <n v="0"/>
    <n v="21.353999999999999"/>
    <n v="21.353999999999999"/>
    <n v="21.353999999999999"/>
    <n v="21.353999999999999"/>
    <n v="90"/>
    <x v="0"/>
    <n v="0"/>
    <n v="0"/>
    <n v="67"/>
    <n v="39"/>
    <n v="0"/>
    <n v="442.96"/>
    <n v="185.74"/>
    <m/>
    <n v="544.85419676676725"/>
    <n v="166.7634981586946"/>
    <n v="0"/>
    <n v="9458.9678399999993"/>
    <n v="3966.29196"/>
    <n v="0"/>
    <n v="11634.816517757547"/>
    <n v="3561.0677396807646"/>
  </r>
  <r>
    <s v="Regular"/>
    <x v="3"/>
    <x v="3"/>
    <x v="5"/>
    <x v="0"/>
    <x v="0"/>
    <x v="0"/>
    <x v="2"/>
    <x v="1"/>
    <n v="0"/>
    <n v="0"/>
    <n v="20.651"/>
    <n v="20.651"/>
    <n v="20.651"/>
    <n v="20.651"/>
    <n v="90"/>
    <x v="0"/>
    <n v="0"/>
    <n v="0"/>
    <n v="67"/>
    <n v="39"/>
    <n v="0"/>
    <n v="442.96"/>
    <n v="185.74"/>
    <m/>
    <n v="544.85419676676725"/>
    <n v="166.7634981586946"/>
    <n v="0"/>
    <n v="9147.5669600000001"/>
    <n v="3835.7167400000003"/>
    <n v="0"/>
    <n v="11251.784017430511"/>
    <n v="3443.8330004752024"/>
  </r>
  <r>
    <s v="Regular"/>
    <x v="3"/>
    <x v="3"/>
    <x v="5"/>
    <x v="0"/>
    <x v="0"/>
    <x v="0"/>
    <x v="2"/>
    <x v="2"/>
    <n v="0"/>
    <n v="0"/>
    <n v="20.763000000000002"/>
    <n v="20.763000000000002"/>
    <n v="20.763000000000002"/>
    <n v="20.763000000000002"/>
    <n v="91"/>
    <x v="0"/>
    <n v="0"/>
    <n v="0"/>
    <n v="67"/>
    <n v="39"/>
    <n v="0"/>
    <n v="442.96"/>
    <n v="185.74"/>
    <m/>
    <n v="544.85419676676725"/>
    <n v="166.7634981586946"/>
    <n v="0"/>
    <n v="9197.1784800000005"/>
    <n v="3856.5196200000005"/>
    <n v="0"/>
    <n v="11312.807687468388"/>
    <n v="3462.5105122689765"/>
  </r>
  <r>
    <s v="Regular"/>
    <x v="3"/>
    <x v="3"/>
    <x v="5"/>
    <x v="0"/>
    <x v="0"/>
    <x v="0"/>
    <x v="2"/>
    <x v="3"/>
    <n v="0"/>
    <n v="0"/>
    <n v="19.356000000000002"/>
    <n v="19.356000000000002"/>
    <n v="19.356000000000002"/>
    <n v="19.356000000000002"/>
    <n v="93"/>
    <x v="0"/>
    <n v="0"/>
    <n v="0"/>
    <n v="67"/>
    <n v="39"/>
    <n v="0"/>
    <n v="442.96"/>
    <n v="185.74"/>
    <m/>
    <n v="544.85419676676725"/>
    <n v="166.7634981586946"/>
    <n v="0"/>
    <n v="8573.9337599999999"/>
    <n v="3595.1834400000007"/>
    <n v="0"/>
    <n v="10546.197832617549"/>
    <n v="3227.8742703596931"/>
  </r>
  <r>
    <s v="Regular"/>
    <x v="3"/>
    <x v="3"/>
    <x v="5"/>
    <x v="0"/>
    <x v="0"/>
    <x v="0"/>
    <x v="2"/>
    <x v="4"/>
    <n v="0"/>
    <n v="0"/>
    <n v="18.238"/>
    <n v="18.238"/>
    <n v="18.238"/>
    <n v="18.238"/>
    <n v="93"/>
    <x v="0"/>
    <n v="0"/>
    <n v="0"/>
    <n v="67"/>
    <n v="39"/>
    <n v="0"/>
    <n v="442.96"/>
    <n v="185.74"/>
    <m/>
    <n v="544.85419676676725"/>
    <n v="166.7634981586946"/>
    <n v="0"/>
    <n v="8078.7044799999994"/>
    <n v="3387.52612"/>
    <n v="0"/>
    <n v="9937.0508406323006"/>
    <n v="3041.4326794182721"/>
  </r>
  <r>
    <s v="Regular"/>
    <x v="3"/>
    <x v="3"/>
    <x v="5"/>
    <x v="0"/>
    <x v="0"/>
    <x v="0"/>
    <x v="2"/>
    <x v="5"/>
    <n v="0"/>
    <n v="0"/>
    <n v="21.077000000000002"/>
    <n v="21.077000000000002"/>
    <n v="21.077000000000002"/>
    <n v="21.077000000000002"/>
    <n v="92"/>
    <x v="0"/>
    <n v="0"/>
    <n v="0"/>
    <n v="67"/>
    <n v="39"/>
    <n v="0"/>
    <n v="442.96"/>
    <n v="185.74"/>
    <m/>
    <n v="544.85419676676725"/>
    <n v="166.7634981586946"/>
    <n v="0"/>
    <n v="9336.2679200000002"/>
    <n v="3914.8419800000006"/>
    <n v="0"/>
    <n v="11483.891905253155"/>
    <n v="3514.8742506908065"/>
  </r>
  <r>
    <s v="Regular"/>
    <x v="3"/>
    <x v="3"/>
    <x v="5"/>
    <x v="0"/>
    <x v="0"/>
    <x v="0"/>
    <x v="2"/>
    <x v="6"/>
    <n v="0"/>
    <n v="0"/>
    <n v="30.733000000000001"/>
    <n v="30.733000000000001"/>
    <n v="30.733000000000001"/>
    <n v="30.733000000000001"/>
    <n v="93"/>
    <x v="0"/>
    <n v="0"/>
    <n v="0"/>
    <n v="67"/>
    <n v="39"/>
    <n v="0"/>
    <n v="442.96"/>
    <n v="185.74"/>
    <m/>
    <n v="544.85419676676725"/>
    <n v="166.7634981586946"/>
    <n v="0"/>
    <n v="13613.489679999999"/>
    <n v="5708.3474200000001"/>
    <n v="0"/>
    <n v="16745.00402923306"/>
    <n v="5125.1425889111615"/>
  </r>
  <r>
    <s v="Regular"/>
    <x v="3"/>
    <x v="3"/>
    <x v="5"/>
    <x v="0"/>
    <x v="0"/>
    <x v="0"/>
    <x v="2"/>
    <x v="7"/>
    <n v="0"/>
    <n v="0"/>
    <n v="25.068999999999999"/>
    <n v="25.068999999999999"/>
    <n v="25.068999999999999"/>
    <n v="25.068999999999999"/>
    <n v="93"/>
    <x v="0"/>
    <n v="0"/>
    <n v="0"/>
    <n v="67"/>
    <n v="39"/>
    <n v="0"/>
    <n v="442.96"/>
    <n v="185.74"/>
    <m/>
    <n v="544.85419676676725"/>
    <n v="166.7634981586946"/>
    <n v="0"/>
    <n v="11104.56424"/>
    <n v="4656.3160600000001"/>
    <n v="0"/>
    <n v="13658.949858746088"/>
    <n v="4180.594135340315"/>
  </r>
  <r>
    <s v="Regular"/>
    <x v="3"/>
    <x v="3"/>
    <x v="5"/>
    <x v="0"/>
    <x v="0"/>
    <x v="0"/>
    <x v="2"/>
    <x v="8"/>
    <n v="0"/>
    <n v="0"/>
    <n v="21.931000000000001"/>
    <n v="21.931000000000001"/>
    <n v="21.931000000000001"/>
    <n v="21.931000000000001"/>
    <n v="93"/>
    <x v="0"/>
    <n v="0"/>
    <n v="0"/>
    <n v="67"/>
    <n v="39"/>
    <n v="0"/>
    <n v="442.96"/>
    <n v="185.74"/>
    <m/>
    <n v="544.85419676676725"/>
    <n v="166.7634981586946"/>
    <n v="0"/>
    <n v="9714.5557599999993"/>
    <n v="4073.4639400000005"/>
    <n v="0"/>
    <n v="11949.197389291972"/>
    <n v="3657.2902781183316"/>
  </r>
  <r>
    <s v="Regular"/>
    <x v="3"/>
    <x v="3"/>
    <x v="5"/>
    <x v="0"/>
    <x v="0"/>
    <x v="0"/>
    <x v="2"/>
    <x v="9"/>
    <n v="0"/>
    <n v="0"/>
    <n v="23.603999999999999"/>
    <n v="23.603999999999999"/>
    <n v="23.603999999999999"/>
    <n v="23.603999999999999"/>
    <n v="92"/>
    <x v="0"/>
    <n v="0"/>
    <n v="0"/>
    <n v="67"/>
    <n v="39"/>
    <n v="0"/>
    <n v="442.96"/>
    <n v="185.74"/>
    <m/>
    <n v="544.85419676676725"/>
    <n v="166.7634981586946"/>
    <n v="0"/>
    <n v="10455.627839999999"/>
    <n v="4384.2069600000004"/>
    <n v="0"/>
    <n v="12860.738460482773"/>
    <n v="3936.2856105378273"/>
  </r>
  <r>
    <s v="Regular"/>
    <x v="3"/>
    <x v="3"/>
    <x v="5"/>
    <x v="0"/>
    <x v="0"/>
    <x v="0"/>
    <x v="2"/>
    <x v="10"/>
    <n v="0"/>
    <n v="0"/>
    <n v="21.2"/>
    <n v="21.2"/>
    <n v="21.2"/>
    <n v="21.2"/>
    <n v="92"/>
    <x v="0"/>
    <n v="0"/>
    <n v="0"/>
    <n v="67"/>
    <n v="39"/>
    <n v="0"/>
    <n v="442.96"/>
    <n v="185.74"/>
    <m/>
    <n v="544.85419676676725"/>
    <n v="166.7634981586946"/>
    <n v="0"/>
    <n v="9390.7519999999986"/>
    <n v="3937.6880000000001"/>
    <n v="0"/>
    <n v="11550.908971455465"/>
    <n v="3535.3861609643254"/>
  </r>
  <r>
    <s v="Regular"/>
    <x v="3"/>
    <x v="3"/>
    <x v="5"/>
    <x v="0"/>
    <x v="0"/>
    <x v="0"/>
    <x v="2"/>
    <x v="11"/>
    <n v="0"/>
    <n v="0"/>
    <n v="21.1"/>
    <n v="21.1"/>
    <n v="21.1"/>
    <n v="21.1"/>
    <n v="92"/>
    <x v="0"/>
    <n v="0"/>
    <n v="0"/>
    <n v="67"/>
    <n v="39"/>
    <n v="0"/>
    <n v="442.96"/>
    <n v="185.74"/>
    <m/>
    <n v="544.85419676676725"/>
    <n v="166.7634981586946"/>
    <n v="0"/>
    <n v="9346.4560000000001"/>
    <n v="3919.1140000000005"/>
    <n v="0"/>
    <n v="11496.423551778789"/>
    <n v="3518.7098111484565"/>
  </r>
  <r>
    <s v="Regular"/>
    <x v="3"/>
    <x v="3"/>
    <x v="6"/>
    <x v="6"/>
    <x v="0"/>
    <x v="0"/>
    <x v="2"/>
    <x v="0"/>
    <n v="0"/>
    <n v="0"/>
    <n v="8.86"/>
    <n v="8.3283999999999985"/>
    <n v="8.86"/>
    <n v="8.3283999999999985"/>
    <n v="5"/>
    <x v="0"/>
    <n v="0"/>
    <n v="0"/>
    <n v="67"/>
    <n v="39"/>
    <n v="0"/>
    <n v="442.96"/>
    <n v="185.74"/>
    <m/>
    <n v="544.85419676676725"/>
    <n v="166.7634981586946"/>
    <n v="0"/>
    <n v="3689.1480639999991"/>
    <n v="1546.9170159999999"/>
    <n v="0"/>
    <n v="4537.7636923523432"/>
    <n v="1388.873118064872"/>
  </r>
  <r>
    <s v="Regular"/>
    <x v="3"/>
    <x v="3"/>
    <x v="6"/>
    <x v="6"/>
    <x v="0"/>
    <x v="0"/>
    <x v="2"/>
    <x v="1"/>
    <n v="0"/>
    <n v="0"/>
    <n v="8.4420000000000002"/>
    <n v="7.9354800000000001"/>
    <n v="8.4420000000000002"/>
    <n v="7.9354800000000001"/>
    <n v="5"/>
    <x v="0"/>
    <n v="0"/>
    <n v="0"/>
    <n v="67"/>
    <n v="39"/>
    <n v="0"/>
    <n v="442.96"/>
    <n v="185.74"/>
    <m/>
    <n v="544.85419676676725"/>
    <n v="166.7634981586946"/>
    <n v="0"/>
    <n v="3515.1002208"/>
    <n v="1473.9360552000001"/>
    <n v="0"/>
    <n v="4323.679581358746"/>
    <n v="1323.3484043683579"/>
  </r>
  <r>
    <s v="Regular"/>
    <x v="3"/>
    <x v="3"/>
    <x v="6"/>
    <x v="6"/>
    <x v="0"/>
    <x v="0"/>
    <x v="2"/>
    <x v="2"/>
    <n v="0"/>
    <n v="0"/>
    <n v="7.4219999999999997"/>
    <n v="6.9766799999999991"/>
    <n v="7.4219999999999997"/>
    <n v="6.9766799999999991"/>
    <n v="5"/>
    <x v="0"/>
    <n v="0"/>
    <n v="0"/>
    <n v="67"/>
    <n v="39"/>
    <n v="0"/>
    <n v="442.96"/>
    <n v="185.74"/>
    <m/>
    <n v="544.85419676676725"/>
    <n v="166.7634981586946"/>
    <n v="0"/>
    <n v="3090.3901727999996"/>
    <n v="1295.8485432"/>
    <n v="0"/>
    <n v="3801.2733774987692"/>
    <n v="1163.4555623338013"/>
  </r>
  <r>
    <s v="Regular"/>
    <x v="3"/>
    <x v="3"/>
    <x v="6"/>
    <x v="6"/>
    <x v="0"/>
    <x v="0"/>
    <x v="2"/>
    <x v="3"/>
    <n v="0"/>
    <n v="0"/>
    <n v="6.89"/>
    <n v="6.4765999999999995"/>
    <n v="6.89"/>
    <n v="6.4765999999999995"/>
    <n v="5"/>
    <x v="0"/>
    <n v="0"/>
    <n v="0"/>
    <n v="67"/>
    <n v="39"/>
    <n v="0"/>
    <n v="442.96"/>
    <n v="185.74"/>
    <m/>
    <n v="544.85419676676725"/>
    <n v="166.7634981586946"/>
    <n v="0"/>
    <n v="2868.8747359999998"/>
    <n v="1202.9636840000001"/>
    <n v="0"/>
    <n v="3528.8026907796443"/>
    <n v="1080.0604721746013"/>
  </r>
  <r>
    <s v="Regular"/>
    <x v="3"/>
    <x v="3"/>
    <x v="6"/>
    <x v="6"/>
    <x v="0"/>
    <x v="0"/>
    <x v="2"/>
    <x v="4"/>
    <n v="0"/>
    <n v="0"/>
    <n v="6.3129999999999997"/>
    <n v="5.9342199999999998"/>
    <n v="6.3129999999999997"/>
    <n v="5.9342199999999998"/>
    <n v="5"/>
    <x v="0"/>
    <n v="0"/>
    <n v="0"/>
    <n v="67"/>
    <n v="39"/>
    <n v="0"/>
    <n v="442.96"/>
    <n v="185.74"/>
    <m/>
    <n v="544.85419676676725"/>
    <n v="166.7634981586946"/>
    <n v="0"/>
    <n v="2628.6220911999999"/>
    <n v="1102.2220228000001"/>
    <n v="0"/>
    <n v="3233.2846715372852"/>
    <n v="989.6112860432886"/>
  </r>
  <r>
    <s v="Regular"/>
    <x v="3"/>
    <x v="3"/>
    <x v="6"/>
    <x v="6"/>
    <x v="0"/>
    <x v="0"/>
    <x v="2"/>
    <x v="5"/>
    <n v="0"/>
    <n v="0"/>
    <n v="4.319"/>
    <n v="4.0598599999999996"/>
    <n v="4.319"/>
    <n v="4.0598599999999996"/>
    <n v="5"/>
    <x v="0"/>
    <n v="0"/>
    <n v="0"/>
    <n v="67"/>
    <n v="39"/>
    <n v="0"/>
    <n v="442.96"/>
    <n v="185.74"/>
    <m/>
    <n v="544.85419676676725"/>
    <n v="166.7634981586946"/>
    <n v="0"/>
    <n v="1798.3555855999998"/>
    <n v="754.07839639999997"/>
    <n v="0"/>
    <n v="2212.0317592855276"/>
    <n v="677.0364556345578"/>
  </r>
  <r>
    <s v="Regular"/>
    <x v="3"/>
    <x v="3"/>
    <x v="6"/>
    <x v="6"/>
    <x v="0"/>
    <x v="0"/>
    <x v="2"/>
    <x v="6"/>
    <n v="0"/>
    <n v="0"/>
    <n v="3.2589999999999999"/>
    <n v="3.0634599999999996"/>
    <n v="3.2589999999999999"/>
    <n v="3.0634599999999996"/>
    <n v="5"/>
    <x v="0"/>
    <n v="0"/>
    <n v="0"/>
    <n v="67"/>
    <n v="39"/>
    <n v="0"/>
    <n v="442.96"/>
    <n v="185.74"/>
    <m/>
    <n v="544.85419676676725"/>
    <n v="166.7634981586946"/>
    <n v="0"/>
    <n v="1356.9902415999998"/>
    <n v="569.0070604"/>
    <n v="0"/>
    <n v="1669.1390376271206"/>
    <n v="510.8733060692345"/>
  </r>
  <r>
    <s v="Regular"/>
    <x v="3"/>
    <x v="3"/>
    <x v="6"/>
    <x v="6"/>
    <x v="0"/>
    <x v="0"/>
    <x v="2"/>
    <x v="7"/>
    <n v="0"/>
    <n v="0"/>
    <n v="3.5129999999999999"/>
    <n v="3.3022199999999997"/>
    <n v="3.5129999999999999"/>
    <n v="3.3022199999999997"/>
    <n v="5"/>
    <x v="0"/>
    <n v="0"/>
    <n v="0"/>
    <n v="67"/>
    <n v="39"/>
    <n v="0"/>
    <n v="442.96"/>
    <n v="185.74"/>
    <m/>
    <n v="544.85419676676725"/>
    <n v="166.7634981586946"/>
    <n v="0"/>
    <n v="1462.7513711999998"/>
    <n v="613.35434279999993"/>
    <n v="0"/>
    <n v="1799.2284256471539"/>
    <n v="550.68975888960449"/>
  </r>
  <r>
    <s v="Regular"/>
    <x v="3"/>
    <x v="3"/>
    <x v="6"/>
    <x v="6"/>
    <x v="0"/>
    <x v="0"/>
    <x v="2"/>
    <x v="8"/>
    <n v="0"/>
    <n v="0"/>
    <n v="4.3680000000000003"/>
    <n v="4.1059200000000002"/>
    <n v="4.3680000000000003"/>
    <n v="4.1059200000000002"/>
    <n v="5"/>
    <x v="0"/>
    <n v="0"/>
    <n v="0"/>
    <n v="67"/>
    <n v="39"/>
    <n v="0"/>
    <n v="442.96"/>
    <n v="185.74"/>
    <m/>
    <n v="544.85419676676725"/>
    <n v="166.7634981586946"/>
    <n v="0"/>
    <n v="1818.7583231999999"/>
    <n v="762.63358080000012"/>
    <n v="0"/>
    <n v="2237.127743588605"/>
    <n v="684.71758235974733"/>
  </r>
  <r>
    <s v="Regular"/>
    <x v="3"/>
    <x v="3"/>
    <x v="6"/>
    <x v="6"/>
    <x v="0"/>
    <x v="0"/>
    <x v="2"/>
    <x v="9"/>
    <n v="0"/>
    <n v="0"/>
    <n v="3.9340000000000002"/>
    <n v="3.6979600000000001"/>
    <n v="3.9340000000000002"/>
    <n v="3.6979600000000001"/>
    <n v="5"/>
    <x v="0"/>
    <n v="0"/>
    <n v="0"/>
    <n v="67"/>
    <n v="39"/>
    <n v="0"/>
    <n v="442.96"/>
    <n v="185.74"/>
    <m/>
    <n v="544.85419676676725"/>
    <n v="166.7634981586946"/>
    <n v="0"/>
    <n v="1638.0483615999999"/>
    <n v="686.85909040000001"/>
    <n v="0"/>
    <n v="2014.8490254756348"/>
    <n v="616.68474565092629"/>
  </r>
  <r>
    <s v="Regular"/>
    <x v="3"/>
    <x v="3"/>
    <x v="6"/>
    <x v="6"/>
    <x v="0"/>
    <x v="0"/>
    <x v="2"/>
    <x v="10"/>
    <n v="0"/>
    <n v="0"/>
    <n v="3.6429999999999998"/>
    <n v="3.4244199999999996"/>
    <n v="3.6429999999999998"/>
    <n v="3.4244199999999996"/>
    <n v="5"/>
    <x v="0"/>
    <n v="0"/>
    <n v="0"/>
    <n v="67"/>
    <n v="39"/>
    <n v="0"/>
    <n v="442.96"/>
    <n v="185.74"/>
    <m/>
    <n v="544.85419676676725"/>
    <n v="166.7634981586946"/>
    <n v="0"/>
    <n v="1516.8810831999997"/>
    <n v="636.05177079999999"/>
    <n v="0"/>
    <n v="1865.8096084920528"/>
    <n v="571.06825836459689"/>
  </r>
  <r>
    <s v="Regular"/>
    <x v="3"/>
    <x v="3"/>
    <x v="6"/>
    <x v="6"/>
    <x v="0"/>
    <x v="0"/>
    <x v="2"/>
    <x v="11"/>
    <n v="0"/>
    <n v="0"/>
    <n v="3.62"/>
    <n v="3.4028"/>
    <n v="3.62"/>
    <n v="3.4028"/>
    <n v="5"/>
    <x v="0"/>
    <n v="0"/>
    <n v="0"/>
    <n v="67"/>
    <n v="39"/>
    <n v="0"/>
    <n v="442.96"/>
    <n v="185.74"/>
    <m/>
    <n v="544.85419676676725"/>
    <n v="166.7634981586946"/>
    <n v="0"/>
    <n v="1507.304288"/>
    <n v="632.03607199999999"/>
    <n v="0"/>
    <n v="1854.0298607579557"/>
    <n v="567.46283153440595"/>
  </r>
  <r>
    <s v="Regular"/>
    <x v="3"/>
    <x v="3"/>
    <x v="6"/>
    <x v="7"/>
    <x v="0"/>
    <x v="0"/>
    <x v="2"/>
    <x v="0"/>
    <n v="0"/>
    <n v="0"/>
    <n v="0.03"/>
    <n v="0.03"/>
    <n v="0.03"/>
    <n v="0.03"/>
    <n v="1"/>
    <x v="0"/>
    <n v="0"/>
    <n v="0"/>
    <n v="67"/>
    <n v="39"/>
    <n v="0"/>
    <n v="442.96"/>
    <n v="185.74"/>
    <m/>
    <n v="544.85419676676725"/>
    <n v="166.7634981586946"/>
    <n v="0"/>
    <n v="13.288799999999998"/>
    <n v="5.5722000000000005"/>
    <n v="0"/>
    <n v="16.345625903003018"/>
    <n v="5.0029049447608376"/>
  </r>
  <r>
    <s v="Regular"/>
    <x v="3"/>
    <x v="3"/>
    <x v="6"/>
    <x v="7"/>
    <x v="0"/>
    <x v="0"/>
    <x v="2"/>
    <x v="1"/>
    <n v="0"/>
    <n v="0"/>
    <n v="5.8000000000000003E-2"/>
    <n v="5.8000000000000003E-2"/>
    <n v="5.8000000000000003E-2"/>
    <n v="5.8000000000000003E-2"/>
    <n v="1"/>
    <x v="0"/>
    <n v="0"/>
    <n v="0"/>
    <n v="67"/>
    <n v="39"/>
    <n v="0"/>
    <n v="442.96"/>
    <n v="185.74"/>
    <m/>
    <n v="544.85419676676725"/>
    <n v="166.7634981586946"/>
    <n v="0"/>
    <n v="25.691680000000002"/>
    <n v="10.772920000000001"/>
    <n v="0"/>
    <n v="31.601543412472502"/>
    <n v="9.6722828932042866"/>
  </r>
  <r>
    <s v="Regular"/>
    <x v="3"/>
    <x v="3"/>
    <x v="6"/>
    <x v="7"/>
    <x v="0"/>
    <x v="0"/>
    <x v="2"/>
    <x v="2"/>
    <n v="0"/>
    <n v="0"/>
    <n v="4.2000000000000003E-2"/>
    <n v="4.2000000000000003E-2"/>
    <n v="4.2000000000000003E-2"/>
    <n v="4.2000000000000003E-2"/>
    <n v="1"/>
    <x v="0"/>
    <n v="0"/>
    <n v="0"/>
    <n v="67"/>
    <n v="39"/>
    <n v="0"/>
    <n v="442.96"/>
    <n v="185.74"/>
    <m/>
    <n v="544.85419676676725"/>
    <n v="166.7634981586946"/>
    <n v="0"/>
    <n v="18.604320000000001"/>
    <n v="7.8010800000000007"/>
    <n v="0"/>
    <n v="22.883876264204225"/>
    <n v="7.0040669226651735"/>
  </r>
  <r>
    <s v="Regular"/>
    <x v="3"/>
    <x v="3"/>
    <x v="6"/>
    <x v="7"/>
    <x v="0"/>
    <x v="0"/>
    <x v="2"/>
    <x v="3"/>
    <n v="0"/>
    <n v="0"/>
    <n v="5.1999999999999998E-2"/>
    <n v="5.1999999999999998E-2"/>
    <n v="5.1999999999999998E-2"/>
    <n v="5.1999999999999998E-2"/>
    <n v="1"/>
    <x v="0"/>
    <n v="0"/>
    <n v="0"/>
    <n v="67"/>
    <n v="39"/>
    <n v="0"/>
    <n v="442.96"/>
    <n v="185.74"/>
    <m/>
    <n v="544.85419676676725"/>
    <n v="166.7634981586946"/>
    <n v="0"/>
    <n v="23.033919999999998"/>
    <n v="9.6584800000000008"/>
    <n v="0"/>
    <n v="28.332418231871895"/>
    <n v="8.6717019042521191"/>
  </r>
  <r>
    <s v="Regular"/>
    <x v="3"/>
    <x v="3"/>
    <x v="6"/>
    <x v="7"/>
    <x v="0"/>
    <x v="0"/>
    <x v="2"/>
    <x v="4"/>
    <n v="0"/>
    <n v="0"/>
    <n v="5.8999999999999997E-2"/>
    <n v="5.8999999999999997E-2"/>
    <n v="5.8999999999999997E-2"/>
    <n v="5.8999999999999997E-2"/>
    <n v="1"/>
    <x v="0"/>
    <n v="0"/>
    <n v="0"/>
    <n v="67"/>
    <n v="39"/>
    <n v="0"/>
    <n v="442.96"/>
    <n v="185.74"/>
    <m/>
    <n v="544.85419676676725"/>
    <n v="166.7634981586946"/>
    <n v="0"/>
    <n v="26.134639999999997"/>
    <n v="10.95866"/>
    <n v="0"/>
    <n v="32.146397609239266"/>
    <n v="9.8390463913629809"/>
  </r>
  <r>
    <s v="Regular"/>
    <x v="3"/>
    <x v="3"/>
    <x v="6"/>
    <x v="7"/>
    <x v="0"/>
    <x v="0"/>
    <x v="2"/>
    <x v="5"/>
    <n v="0"/>
    <n v="0"/>
    <n v="0.06"/>
    <n v="0.06"/>
    <n v="0.06"/>
    <n v="0.06"/>
    <n v="1"/>
    <x v="0"/>
    <n v="0"/>
    <n v="0"/>
    <n v="67"/>
    <n v="39"/>
    <n v="0"/>
    <n v="442.96"/>
    <n v="185.74"/>
    <m/>
    <n v="544.85419676676725"/>
    <n v="166.7634981586946"/>
    <n v="0"/>
    <n v="26.577599999999997"/>
    <n v="11.144400000000001"/>
    <n v="0"/>
    <n v="32.691251806006036"/>
    <n v="10.005809889521675"/>
  </r>
  <r>
    <s v="Regular"/>
    <x v="3"/>
    <x v="3"/>
    <x v="6"/>
    <x v="7"/>
    <x v="0"/>
    <x v="0"/>
    <x v="2"/>
    <x v="6"/>
    <n v="0"/>
    <n v="0"/>
    <n v="7.0000000000000007E-2"/>
    <n v="7.0000000000000007E-2"/>
    <n v="7.0000000000000007E-2"/>
    <n v="7.0000000000000007E-2"/>
    <n v="1"/>
    <x v="0"/>
    <n v="0"/>
    <n v="0"/>
    <n v="67"/>
    <n v="39"/>
    <n v="0"/>
    <n v="442.96"/>
    <n v="185.74"/>
    <m/>
    <n v="544.85419676676725"/>
    <n v="166.7634981586946"/>
    <n v="0"/>
    <n v="31.007200000000001"/>
    <n v="13.001800000000001"/>
    <n v="0"/>
    <n v="38.139793773673709"/>
    <n v="11.673444871108623"/>
  </r>
  <r>
    <s v="Regular"/>
    <x v="3"/>
    <x v="3"/>
    <x v="6"/>
    <x v="7"/>
    <x v="0"/>
    <x v="0"/>
    <x v="2"/>
    <x v="7"/>
    <n v="0"/>
    <n v="0"/>
    <n v="0.03"/>
    <n v="0.03"/>
    <n v="0.03"/>
    <n v="0.03"/>
    <n v="1"/>
    <x v="0"/>
    <n v="0"/>
    <n v="0"/>
    <n v="67"/>
    <n v="39"/>
    <n v="0"/>
    <n v="442.96"/>
    <n v="185.74"/>
    <m/>
    <n v="544.85419676676725"/>
    <n v="166.7634981586946"/>
    <n v="0"/>
    <n v="13.288799999999998"/>
    <n v="5.5722000000000005"/>
    <n v="0"/>
    <n v="16.345625903003018"/>
    <n v="5.0029049447608376"/>
  </r>
  <r>
    <s v="Regular"/>
    <x v="3"/>
    <x v="3"/>
    <x v="6"/>
    <x v="7"/>
    <x v="0"/>
    <x v="0"/>
    <x v="2"/>
    <x v="8"/>
    <n v="0"/>
    <n v="0"/>
    <n v="3.3000000000000002E-2"/>
    <n v="3.3000000000000002E-2"/>
    <n v="3.3000000000000002E-2"/>
    <n v="3.3000000000000002E-2"/>
    <n v="1"/>
    <x v="0"/>
    <n v="0"/>
    <n v="0"/>
    <n v="67"/>
    <n v="39"/>
    <n v="0"/>
    <n v="442.96"/>
    <n v="185.74"/>
    <m/>
    <n v="544.85419676676725"/>
    <n v="166.7634981586946"/>
    <n v="0"/>
    <n v="14.61768"/>
    <n v="6.1294200000000005"/>
    <n v="0"/>
    <n v="17.98018849330332"/>
    <n v="5.5031954392369222"/>
  </r>
  <r>
    <s v="Regular"/>
    <x v="3"/>
    <x v="3"/>
    <x v="6"/>
    <x v="7"/>
    <x v="0"/>
    <x v="0"/>
    <x v="2"/>
    <x v="9"/>
    <n v="0"/>
    <n v="0"/>
    <n v="3.4000000000000002E-2"/>
    <n v="3.4000000000000002E-2"/>
    <n v="3.4000000000000002E-2"/>
    <n v="3.4000000000000002E-2"/>
    <n v="1"/>
    <x v="0"/>
    <n v="0"/>
    <n v="0"/>
    <n v="67"/>
    <n v="39"/>
    <n v="0"/>
    <n v="442.96"/>
    <n v="185.74"/>
    <m/>
    <n v="544.85419676676725"/>
    <n v="166.7634981586946"/>
    <n v="0"/>
    <n v="15.060640000000001"/>
    <n v="6.3151600000000006"/>
    <n v="0"/>
    <n v="18.525042690070087"/>
    <n v="5.6699589373956165"/>
  </r>
  <r>
    <s v="Regular"/>
    <x v="3"/>
    <x v="3"/>
    <x v="6"/>
    <x v="7"/>
    <x v="0"/>
    <x v="0"/>
    <x v="2"/>
    <x v="10"/>
    <n v="0"/>
    <n v="0"/>
    <n v="3.5999999999999997E-2"/>
    <n v="3.5999999999999997E-2"/>
    <n v="3.5999999999999997E-2"/>
    <n v="3.5999999999999997E-2"/>
    <n v="1"/>
    <x v="0"/>
    <n v="0"/>
    <n v="0"/>
    <n v="67"/>
    <n v="39"/>
    <n v="0"/>
    <n v="442.96"/>
    <n v="185.74"/>
    <m/>
    <n v="544.85419676676725"/>
    <n v="166.7634981586946"/>
    <n v="0"/>
    <n v="15.946559999999998"/>
    <n v="6.6866399999999997"/>
    <n v="0"/>
    <n v="19.614751083603618"/>
    <n v="6.0034859337130051"/>
  </r>
  <r>
    <s v="Regular"/>
    <x v="3"/>
    <x v="3"/>
    <x v="6"/>
    <x v="7"/>
    <x v="0"/>
    <x v="0"/>
    <x v="2"/>
    <x v="11"/>
    <n v="0"/>
    <n v="0"/>
    <n v="7.4999999999999997E-2"/>
    <n v="7.4999999999999997E-2"/>
    <n v="7.4999999999999997E-2"/>
    <n v="7.4999999999999997E-2"/>
    <n v="1"/>
    <x v="0"/>
    <n v="0"/>
    <n v="0"/>
    <n v="67"/>
    <n v="39"/>
    <n v="0"/>
    <n v="442.96"/>
    <n v="185.74"/>
    <m/>
    <n v="544.85419676676725"/>
    <n v="166.7634981586946"/>
    <n v="0"/>
    <n v="33.221999999999994"/>
    <n v="13.9305"/>
    <n v="0"/>
    <n v="40.864064757507542"/>
    <n v="12.507262361902095"/>
  </r>
  <r>
    <s v="Regular"/>
    <x v="4"/>
    <x v="3"/>
    <x v="7"/>
    <x v="8"/>
    <x v="0"/>
    <x v="0"/>
    <x v="2"/>
    <x v="0"/>
    <n v="0"/>
    <n v="0"/>
    <n v="191.27699999999999"/>
    <n v="191.27699999999999"/>
    <n v="191.27699999999999"/>
    <n v="191.27699999999999"/>
    <n v="9"/>
    <x v="0"/>
    <n v="0"/>
    <n v="0"/>
    <n v="69"/>
    <n v="43"/>
    <n v="0"/>
    <n v="243.63"/>
    <n v="102.16"/>
    <m/>
    <n v="299.66980822172206"/>
    <n v="91.719923987282044"/>
    <n v="0"/>
    <n v="46600.815509999993"/>
    <n v="19540.858319999999"/>
    <n v="0"/>
    <n v="57319.941907226326"/>
    <n v="17543.911900515348"/>
  </r>
  <r>
    <s v="Regular"/>
    <x v="4"/>
    <x v="3"/>
    <x v="7"/>
    <x v="8"/>
    <x v="0"/>
    <x v="0"/>
    <x v="2"/>
    <x v="1"/>
    <n v="0"/>
    <n v="0"/>
    <n v="191.27699999999999"/>
    <n v="191.27699999999999"/>
    <n v="191.27699999999999"/>
    <n v="191.27699999999999"/>
    <n v="9"/>
    <x v="0"/>
    <n v="0"/>
    <n v="0"/>
    <n v="69"/>
    <n v="43"/>
    <n v="0"/>
    <n v="243.63"/>
    <n v="102.16"/>
    <m/>
    <n v="299.66980822172206"/>
    <n v="91.719923987282044"/>
    <n v="0"/>
    <n v="46600.815509999993"/>
    <n v="19540.858319999999"/>
    <n v="0"/>
    <n v="57319.941907226326"/>
    <n v="17543.911900515348"/>
  </r>
  <r>
    <s v="Regular"/>
    <x v="4"/>
    <x v="3"/>
    <x v="7"/>
    <x v="8"/>
    <x v="0"/>
    <x v="0"/>
    <x v="2"/>
    <x v="2"/>
    <n v="0"/>
    <n v="0"/>
    <n v="191.27699999999999"/>
    <n v="191.27699999999999"/>
    <n v="191.27699999999999"/>
    <n v="191.27699999999999"/>
    <n v="9"/>
    <x v="0"/>
    <n v="0"/>
    <n v="0"/>
    <n v="69"/>
    <n v="43"/>
    <n v="0"/>
    <n v="243.63"/>
    <n v="102.16"/>
    <m/>
    <n v="299.66980822172206"/>
    <n v="91.719923987282044"/>
    <n v="0"/>
    <n v="46600.815509999993"/>
    <n v="19540.858319999999"/>
    <n v="0"/>
    <n v="57319.941907226326"/>
    <n v="17543.911900515348"/>
  </r>
  <r>
    <s v="Regular"/>
    <x v="4"/>
    <x v="3"/>
    <x v="7"/>
    <x v="8"/>
    <x v="0"/>
    <x v="0"/>
    <x v="2"/>
    <x v="3"/>
    <n v="0"/>
    <n v="0"/>
    <n v="191.27699999999999"/>
    <n v="191.27699999999999"/>
    <n v="191.27699999999999"/>
    <n v="191.27699999999999"/>
    <n v="9"/>
    <x v="0"/>
    <n v="0"/>
    <n v="0"/>
    <n v="69"/>
    <n v="43"/>
    <n v="0"/>
    <n v="243.63"/>
    <n v="102.16"/>
    <m/>
    <n v="299.66980822172206"/>
    <n v="91.719923987282044"/>
    <n v="0"/>
    <n v="46600.815509999993"/>
    <n v="19540.858319999999"/>
    <n v="0"/>
    <n v="57319.941907226326"/>
    <n v="17543.911900515348"/>
  </r>
  <r>
    <s v="Regular"/>
    <x v="4"/>
    <x v="3"/>
    <x v="7"/>
    <x v="8"/>
    <x v="0"/>
    <x v="0"/>
    <x v="2"/>
    <x v="4"/>
    <n v="0"/>
    <n v="0"/>
    <n v="191.27699999999999"/>
    <n v="191.27699999999999"/>
    <n v="191.27699999999999"/>
    <n v="191.27699999999999"/>
    <n v="9"/>
    <x v="0"/>
    <n v="0"/>
    <n v="0"/>
    <n v="69"/>
    <n v="43"/>
    <n v="0"/>
    <n v="243.63"/>
    <n v="102.16"/>
    <m/>
    <n v="299.66980822172206"/>
    <n v="91.719923987282044"/>
    <n v="0"/>
    <n v="46600.815509999993"/>
    <n v="19540.858319999999"/>
    <n v="0"/>
    <n v="57319.941907226326"/>
    <n v="17543.911900515348"/>
  </r>
  <r>
    <s v="Regular"/>
    <x v="4"/>
    <x v="3"/>
    <x v="7"/>
    <x v="8"/>
    <x v="0"/>
    <x v="0"/>
    <x v="2"/>
    <x v="5"/>
    <n v="0"/>
    <n v="0"/>
    <n v="191.27699999999999"/>
    <n v="191.27699999999999"/>
    <n v="191.27699999999999"/>
    <n v="191.27699999999999"/>
    <n v="9"/>
    <x v="0"/>
    <n v="0"/>
    <n v="0"/>
    <n v="69"/>
    <n v="43"/>
    <n v="0"/>
    <n v="243.63"/>
    <n v="102.16"/>
    <m/>
    <n v="299.66980822172206"/>
    <n v="91.719923987282044"/>
    <n v="0"/>
    <n v="46600.815509999993"/>
    <n v="19540.858319999999"/>
    <n v="0"/>
    <n v="57319.941907226326"/>
    <n v="17543.911900515348"/>
  </r>
  <r>
    <s v="Regular"/>
    <x v="4"/>
    <x v="3"/>
    <x v="7"/>
    <x v="8"/>
    <x v="0"/>
    <x v="0"/>
    <x v="2"/>
    <x v="6"/>
    <n v="0"/>
    <n v="0"/>
    <n v="191.27699999999999"/>
    <n v="191.27699999999999"/>
    <n v="191.27699999999999"/>
    <n v="191.27699999999999"/>
    <n v="9"/>
    <x v="0"/>
    <n v="0"/>
    <n v="0"/>
    <n v="69"/>
    <n v="43"/>
    <n v="0"/>
    <n v="243.63"/>
    <n v="102.16"/>
    <m/>
    <n v="299.66980822172206"/>
    <n v="91.719923987282044"/>
    <n v="0"/>
    <n v="46600.815509999993"/>
    <n v="19540.858319999999"/>
    <n v="0"/>
    <n v="57319.941907226326"/>
    <n v="17543.911900515348"/>
  </r>
  <r>
    <s v="Regular"/>
    <x v="4"/>
    <x v="3"/>
    <x v="7"/>
    <x v="8"/>
    <x v="0"/>
    <x v="0"/>
    <x v="2"/>
    <x v="7"/>
    <n v="0"/>
    <n v="0"/>
    <n v="191.27699999999999"/>
    <n v="191.27699999999999"/>
    <n v="191.27699999999999"/>
    <n v="191.27699999999999"/>
    <n v="9"/>
    <x v="0"/>
    <n v="0"/>
    <n v="0"/>
    <n v="69"/>
    <n v="43"/>
    <n v="0"/>
    <n v="243.63"/>
    <n v="102.16"/>
    <m/>
    <n v="299.66980822172206"/>
    <n v="91.719923987282044"/>
    <n v="0"/>
    <n v="46600.815509999993"/>
    <n v="19540.858319999999"/>
    <n v="0"/>
    <n v="57319.941907226326"/>
    <n v="17543.911900515348"/>
  </r>
  <r>
    <s v="Regular"/>
    <x v="4"/>
    <x v="3"/>
    <x v="7"/>
    <x v="8"/>
    <x v="0"/>
    <x v="0"/>
    <x v="2"/>
    <x v="8"/>
    <n v="0"/>
    <n v="0"/>
    <n v="191.27699999999999"/>
    <n v="191.27699999999999"/>
    <n v="191.27699999999999"/>
    <n v="191.27699999999999"/>
    <n v="9"/>
    <x v="0"/>
    <n v="0"/>
    <n v="0"/>
    <n v="69"/>
    <n v="43"/>
    <n v="0"/>
    <n v="243.63"/>
    <n v="102.16"/>
    <m/>
    <n v="299.66980822172206"/>
    <n v="91.719923987282044"/>
    <n v="0"/>
    <n v="46600.815509999993"/>
    <n v="19540.858319999999"/>
    <n v="0"/>
    <n v="57319.941907226326"/>
    <n v="17543.911900515348"/>
  </r>
  <r>
    <s v="Regular"/>
    <x v="4"/>
    <x v="3"/>
    <x v="7"/>
    <x v="8"/>
    <x v="0"/>
    <x v="0"/>
    <x v="2"/>
    <x v="9"/>
    <n v="0"/>
    <n v="0"/>
    <n v="235.31200000000001"/>
    <n v="235.31200000000001"/>
    <n v="235.31200000000001"/>
    <n v="235.31200000000001"/>
    <n v="9"/>
    <x v="0"/>
    <n v="0"/>
    <n v="0"/>
    <n v="69"/>
    <n v="43"/>
    <n v="0"/>
    <n v="243.63"/>
    <n v="102.16"/>
    <m/>
    <n v="299.66980822172206"/>
    <n v="91.719923987282044"/>
    <n v="0"/>
    <n v="57329.062559999998"/>
    <n v="24039.47392"/>
    <n v="0"/>
    <n v="70515.901912269866"/>
    <n v="21582.798753295312"/>
  </r>
  <r>
    <s v="Regular"/>
    <x v="4"/>
    <x v="3"/>
    <x v="7"/>
    <x v="8"/>
    <x v="0"/>
    <x v="0"/>
    <x v="2"/>
    <x v="10"/>
    <n v="0"/>
    <n v="0"/>
    <n v="262.262"/>
    <n v="262.262"/>
    <n v="262.262"/>
    <n v="262.262"/>
    <n v="9"/>
    <x v="0"/>
    <n v="0"/>
    <n v="0"/>
    <n v="69"/>
    <n v="43"/>
    <n v="0"/>
    <n v="243.63"/>
    <n v="102.16"/>
    <m/>
    <n v="299.66980822172206"/>
    <n v="91.719923987282044"/>
    <n v="0"/>
    <n v="63894.891060000002"/>
    <n v="26792.68592"/>
    <n v="0"/>
    <n v="78592.003243845276"/>
    <n v="24054.650704752563"/>
  </r>
  <r>
    <s v="Regular"/>
    <x v="4"/>
    <x v="3"/>
    <x v="7"/>
    <x v="8"/>
    <x v="0"/>
    <x v="0"/>
    <x v="2"/>
    <x v="11"/>
    <n v="0"/>
    <n v="0"/>
    <n v="276.28800000000001"/>
    <n v="276.28800000000001"/>
    <n v="276.28800000000001"/>
    <n v="276.28800000000001"/>
    <n v="9"/>
    <x v="0"/>
    <n v="0"/>
    <n v="0"/>
    <n v="69"/>
    <n v="43"/>
    <n v="0"/>
    <n v="243.63"/>
    <n v="102.16"/>
    <m/>
    <n v="299.66980822172206"/>
    <n v="91.719923987282044"/>
    <n v="0"/>
    <n v="67312.045440000002"/>
    <n v="28225.58208"/>
    <n v="0"/>
    <n v="82795.171973963152"/>
    <n v="25341.114358598181"/>
  </r>
  <r>
    <s v="Regular"/>
    <x v="4"/>
    <x v="3"/>
    <x v="7"/>
    <x v="9"/>
    <x v="0"/>
    <x v="0"/>
    <x v="2"/>
    <x v="0"/>
    <n v="0"/>
    <n v="0"/>
    <n v="128.18199999999999"/>
    <n v="128.18199999999999"/>
    <n v="128.18199999999999"/>
    <n v="128.18199999999999"/>
    <n v="6"/>
    <x v="0"/>
    <n v="0"/>
    <n v="0"/>
    <n v="70"/>
    <n v="45"/>
    <n v="0"/>
    <n v="265.77999999999997"/>
    <n v="111.45"/>
    <m/>
    <n v="326.91251806006039"/>
    <n v="100.05809889521676"/>
    <n v="0"/>
    <n v="34068.211959999993"/>
    <n v="14285.883899999999"/>
    <n v="0"/>
    <n v="41904.300389974655"/>
    <n v="12825.647232586673"/>
  </r>
  <r>
    <s v="Regular"/>
    <x v="4"/>
    <x v="3"/>
    <x v="7"/>
    <x v="9"/>
    <x v="0"/>
    <x v="0"/>
    <x v="2"/>
    <x v="1"/>
    <n v="0"/>
    <n v="0"/>
    <n v="130.39699999999999"/>
    <n v="130.39699999999999"/>
    <n v="130.39699999999999"/>
    <n v="130.39699999999999"/>
    <n v="6"/>
    <x v="0"/>
    <n v="0"/>
    <n v="0"/>
    <n v="70"/>
    <n v="45"/>
    <n v="0"/>
    <n v="265.77999999999997"/>
    <n v="111.45"/>
    <m/>
    <n v="326.91251806006039"/>
    <n v="100.05809889521676"/>
    <n v="0"/>
    <n v="34656.914659999995"/>
    <n v="14532.745649999999"/>
    <n v="0"/>
    <n v="42628.411617477694"/>
    <n v="13047.275921639579"/>
  </r>
  <r>
    <s v="Regular"/>
    <x v="4"/>
    <x v="3"/>
    <x v="7"/>
    <x v="9"/>
    <x v="0"/>
    <x v="0"/>
    <x v="2"/>
    <x v="2"/>
    <n v="0"/>
    <n v="0"/>
    <n v="130.57300000000001"/>
    <n v="130.57300000000001"/>
    <n v="130.57300000000001"/>
    <n v="130.57300000000001"/>
    <n v="6"/>
    <x v="0"/>
    <n v="0"/>
    <n v="0"/>
    <n v="70"/>
    <n v="45"/>
    <n v="0"/>
    <n v="265.77999999999997"/>
    <n v="111.45"/>
    <m/>
    <n v="326.91251806006039"/>
    <n v="100.05809889521676"/>
    <n v="0"/>
    <n v="34703.691939999997"/>
    <n v="14552.360850000001"/>
    <n v="0"/>
    <n v="42685.948220656268"/>
    <n v="13064.886147045139"/>
  </r>
  <r>
    <s v="Regular"/>
    <x v="4"/>
    <x v="3"/>
    <x v="7"/>
    <x v="9"/>
    <x v="0"/>
    <x v="0"/>
    <x v="2"/>
    <x v="3"/>
    <n v="0"/>
    <n v="0"/>
    <n v="130.57300000000001"/>
    <n v="130.57300000000001"/>
    <n v="130.57300000000001"/>
    <n v="130.57300000000001"/>
    <n v="6"/>
    <x v="0"/>
    <n v="0"/>
    <n v="0"/>
    <n v="70"/>
    <n v="45"/>
    <n v="0"/>
    <n v="265.77999999999997"/>
    <n v="111.45"/>
    <m/>
    <n v="326.91251806006039"/>
    <n v="100.05809889521676"/>
    <n v="0"/>
    <n v="34703.691939999997"/>
    <n v="14552.360850000001"/>
    <n v="0"/>
    <n v="42685.948220656268"/>
    <n v="13064.886147045139"/>
  </r>
  <r>
    <s v="Regular"/>
    <x v="4"/>
    <x v="3"/>
    <x v="7"/>
    <x v="9"/>
    <x v="0"/>
    <x v="0"/>
    <x v="2"/>
    <x v="4"/>
    <n v="0"/>
    <n v="0"/>
    <n v="130.57300000000001"/>
    <n v="130.57300000000001"/>
    <n v="130.57300000000001"/>
    <n v="130.57300000000001"/>
    <n v="6"/>
    <x v="0"/>
    <n v="0"/>
    <n v="0"/>
    <n v="70"/>
    <n v="45"/>
    <n v="0"/>
    <n v="265.77999999999997"/>
    <n v="111.45"/>
    <m/>
    <n v="326.91251806006039"/>
    <n v="100.05809889521676"/>
    <n v="0"/>
    <n v="34703.691939999997"/>
    <n v="14552.360850000001"/>
    <n v="0"/>
    <n v="42685.948220656268"/>
    <n v="13064.886147045139"/>
  </r>
  <r>
    <s v="Regular"/>
    <x v="4"/>
    <x v="3"/>
    <x v="7"/>
    <x v="9"/>
    <x v="0"/>
    <x v="0"/>
    <x v="2"/>
    <x v="5"/>
    <n v="0"/>
    <n v="0"/>
    <n v="130.57300000000001"/>
    <n v="130.57300000000001"/>
    <n v="130.57300000000001"/>
    <n v="130.57300000000001"/>
    <n v="6"/>
    <x v="0"/>
    <n v="0"/>
    <n v="0"/>
    <n v="70"/>
    <n v="45"/>
    <n v="0"/>
    <n v="265.77999999999997"/>
    <n v="111.45"/>
    <m/>
    <n v="326.91251806006039"/>
    <n v="100.05809889521676"/>
    <n v="0"/>
    <n v="34703.691939999997"/>
    <n v="14552.360850000001"/>
    <n v="0"/>
    <n v="42685.948220656268"/>
    <n v="13064.886147045139"/>
  </r>
  <r>
    <s v="Regular"/>
    <x v="4"/>
    <x v="3"/>
    <x v="7"/>
    <x v="9"/>
    <x v="0"/>
    <x v="0"/>
    <x v="2"/>
    <x v="6"/>
    <n v="0"/>
    <n v="0"/>
    <n v="130.57300000000001"/>
    <n v="130.57300000000001"/>
    <n v="130.57300000000001"/>
    <n v="130.57300000000001"/>
    <n v="6"/>
    <x v="0"/>
    <n v="0"/>
    <n v="0"/>
    <n v="70"/>
    <n v="45"/>
    <n v="0"/>
    <n v="265.77999999999997"/>
    <n v="111.45"/>
    <m/>
    <n v="326.91251806006039"/>
    <n v="100.05809889521676"/>
    <n v="0"/>
    <n v="34703.691939999997"/>
    <n v="14552.360850000001"/>
    <n v="0"/>
    <n v="42685.948220656268"/>
    <n v="13064.886147045139"/>
  </r>
  <r>
    <s v="Regular"/>
    <x v="4"/>
    <x v="3"/>
    <x v="7"/>
    <x v="9"/>
    <x v="0"/>
    <x v="0"/>
    <x v="2"/>
    <x v="7"/>
    <n v="0"/>
    <n v="0"/>
    <n v="130.57300000000001"/>
    <n v="130.57300000000001"/>
    <n v="130.57300000000001"/>
    <n v="130.57300000000001"/>
    <n v="6"/>
    <x v="0"/>
    <n v="0"/>
    <n v="0"/>
    <n v="70"/>
    <n v="45"/>
    <n v="0"/>
    <n v="265.77999999999997"/>
    <n v="111.45"/>
    <m/>
    <n v="326.91251806006039"/>
    <n v="100.05809889521676"/>
    <n v="0"/>
    <n v="34703.691939999997"/>
    <n v="14552.360850000001"/>
    <n v="0"/>
    <n v="42685.948220656268"/>
    <n v="13064.886147045139"/>
  </r>
  <r>
    <s v="Regular"/>
    <x v="4"/>
    <x v="3"/>
    <x v="7"/>
    <x v="9"/>
    <x v="0"/>
    <x v="0"/>
    <x v="2"/>
    <x v="8"/>
    <n v="0"/>
    <n v="0"/>
    <n v="130.57300000000001"/>
    <n v="130.57300000000001"/>
    <n v="130.57300000000001"/>
    <n v="130.57300000000001"/>
    <n v="6"/>
    <x v="0"/>
    <n v="0"/>
    <n v="0"/>
    <n v="70"/>
    <n v="45"/>
    <n v="0"/>
    <n v="265.77999999999997"/>
    <n v="111.45"/>
    <m/>
    <n v="326.91251806006039"/>
    <n v="100.05809889521676"/>
    <n v="0"/>
    <n v="34703.691939999997"/>
    <n v="14552.360850000001"/>
    <n v="0"/>
    <n v="42685.948220656268"/>
    <n v="13064.886147045139"/>
  </r>
  <r>
    <s v="Regular"/>
    <x v="4"/>
    <x v="3"/>
    <x v="7"/>
    <x v="9"/>
    <x v="0"/>
    <x v="0"/>
    <x v="2"/>
    <x v="9"/>
    <n v="0"/>
    <n v="0"/>
    <n v="133.34200000000001"/>
    <n v="133.34200000000001"/>
    <n v="133.34200000000001"/>
    <n v="133.34200000000001"/>
    <n v="6"/>
    <x v="0"/>
    <n v="0"/>
    <n v="0"/>
    <n v="70"/>
    <n v="45"/>
    <n v="0"/>
    <n v="265.77999999999997"/>
    <n v="111.45"/>
    <m/>
    <n v="326.91251806006039"/>
    <n v="100.05809889521676"/>
    <n v="0"/>
    <n v="35439.636760000001"/>
    <n v="14860.965900000001"/>
    <n v="0"/>
    <n v="43591.168983164578"/>
    <n v="13341.947022885994"/>
  </r>
  <r>
    <s v="Regular"/>
    <x v="4"/>
    <x v="3"/>
    <x v="7"/>
    <x v="9"/>
    <x v="0"/>
    <x v="0"/>
    <x v="2"/>
    <x v="10"/>
    <n v="0"/>
    <n v="0"/>
    <n v="137.452"/>
    <n v="137.452"/>
    <n v="137.452"/>
    <n v="137.452"/>
    <n v="6"/>
    <x v="0"/>
    <n v="0"/>
    <n v="0"/>
    <n v="70"/>
    <n v="45"/>
    <n v="0"/>
    <n v="265.77999999999997"/>
    <n v="111.45"/>
    <m/>
    <n v="326.91251806006039"/>
    <n v="100.05809889521676"/>
    <n v="0"/>
    <n v="36531.992559999999"/>
    <n v="15319.0254"/>
    <n v="0"/>
    <n v="44934.77943239142"/>
    <n v="13753.185809345334"/>
  </r>
  <r>
    <s v="Regular"/>
    <x v="4"/>
    <x v="3"/>
    <x v="7"/>
    <x v="9"/>
    <x v="0"/>
    <x v="0"/>
    <x v="2"/>
    <x v="11"/>
    <n v="0"/>
    <n v="0"/>
    <n v="123.929"/>
    <n v="123.929"/>
    <n v="123.929"/>
    <n v="123.929"/>
    <n v="6"/>
    <x v="0"/>
    <n v="0"/>
    <n v="0"/>
    <n v="70"/>
    <n v="45"/>
    <n v="0"/>
    <n v="265.77999999999997"/>
    <n v="111.45"/>
    <m/>
    <n v="326.91251806006039"/>
    <n v="100.05809889521676"/>
    <n v="0"/>
    <n v="32937.849619999994"/>
    <n v="13811.887050000001"/>
    <n v="0"/>
    <n v="40513.941450665225"/>
    <n v="12400.1001379853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s v="Regular"/>
    <x v="0"/>
    <x v="0"/>
    <x v="0"/>
    <x v="0"/>
    <x v="0"/>
    <x v="0"/>
    <x v="0"/>
    <x v="0"/>
    <n v="0"/>
    <n v="0"/>
    <n v="1219.5219999999999"/>
    <n v="1219.5219999999999"/>
    <n v="1219.5219999999999"/>
    <n v="1219.5219999999999"/>
    <n v="7983"/>
    <s v="CATIVO"/>
    <n v="0"/>
    <n v="0"/>
    <n v="32"/>
    <n v="76"/>
    <n v="0"/>
    <n v="442.96"/>
    <n v="185.74"/>
    <m/>
    <n v="544.85419676676725"/>
    <n v="166.7634981586946"/>
    <n v="0"/>
    <n v="0"/>
    <n v="0"/>
    <n v="0"/>
    <x v="0"/>
  </r>
  <r>
    <s v="Regular"/>
    <x v="0"/>
    <x v="0"/>
    <x v="0"/>
    <x v="1"/>
    <x v="0"/>
    <x v="0"/>
    <x v="0"/>
    <x v="0"/>
    <n v="0"/>
    <n v="0"/>
    <n v="6.03"/>
    <n v="6.03"/>
    <n v="6.03"/>
    <n v="6.03"/>
    <n v="13"/>
    <s v="CATIVO"/>
    <n v="0"/>
    <n v="0"/>
    <n v="34"/>
    <n v="77"/>
    <n v="0"/>
    <n v="131.37"/>
    <n v="65.010000000000005"/>
    <m/>
    <n v="153.49478909228577"/>
    <n v="58.367224355543108"/>
    <n v="0"/>
    <n v="2199.2013000000002"/>
    <n v="0"/>
    <n v="2372.5518905964727"/>
    <x v="1"/>
  </r>
  <r>
    <s v="Regular"/>
    <x v="0"/>
    <x v="0"/>
    <x v="0"/>
    <x v="1"/>
    <x v="0"/>
    <x v="0"/>
    <x v="0"/>
    <x v="1"/>
    <n v="0"/>
    <n v="0"/>
    <n v="6"/>
    <n v="6"/>
    <n v="6"/>
    <n v="6"/>
    <n v="14"/>
    <s v="CATIVO"/>
    <n v="0"/>
    <n v="0"/>
    <n v="34"/>
    <n v="77"/>
    <n v="0"/>
    <n v="131.37"/>
    <n v="65.010000000000005"/>
    <m/>
    <n v="153.49478909228577"/>
    <n v="58.367224355543108"/>
    <n v="0"/>
    <n v="2188.2600000000002"/>
    <n v="0"/>
    <n v="2360.7481498472362"/>
    <x v="1"/>
  </r>
  <r>
    <s v="Regular"/>
    <x v="0"/>
    <x v="0"/>
    <x v="0"/>
    <x v="1"/>
    <x v="0"/>
    <x v="0"/>
    <x v="0"/>
    <x v="2"/>
    <n v="0"/>
    <n v="0"/>
    <n v="6.03"/>
    <n v="6.03"/>
    <n v="6.03"/>
    <n v="6.03"/>
    <n v="11"/>
    <s v="CATIVO"/>
    <n v="0"/>
    <n v="0"/>
    <n v="34"/>
    <n v="77"/>
    <n v="0"/>
    <n v="131.37"/>
    <n v="65.010000000000005"/>
    <m/>
    <n v="153.49478909228577"/>
    <n v="58.367224355543108"/>
    <n v="0"/>
    <n v="2199.2013000000002"/>
    <n v="0"/>
    <n v="2372.5518905964727"/>
    <x v="1"/>
  </r>
  <r>
    <s v="Refaturamento - Regular"/>
    <x v="0"/>
    <x v="0"/>
    <x v="0"/>
    <x v="1"/>
    <x v="0"/>
    <x v="0"/>
    <x v="0"/>
    <x v="2"/>
    <n v="0"/>
    <n v="0"/>
    <n v="-5.0000000000000001E-3"/>
    <n v="-5.0000000000000001E-3"/>
    <n v="-5.0000000000000001E-3"/>
    <n v="-5.0000000000000001E-3"/>
    <n v="0"/>
    <s v="CATIVO"/>
    <n v="0"/>
    <n v="0"/>
    <n v="34"/>
    <n v="77"/>
    <n v="0"/>
    <n v="131.37"/>
    <n v="65.010000000000005"/>
    <m/>
    <n v="153.49478909228577"/>
    <n v="58.367224355543108"/>
    <n v="0"/>
    <n v="-1.8235500000000002"/>
    <n v="0"/>
    <n v="-1.9672901248726971"/>
    <x v="1"/>
  </r>
  <r>
    <s v="Sistema de Compensação"/>
    <x v="0"/>
    <x v="0"/>
    <x v="0"/>
    <x v="1"/>
    <x v="0"/>
    <x v="0"/>
    <x v="0"/>
    <x v="2"/>
    <n v="0"/>
    <n v="0"/>
    <n v="0.03"/>
    <n v="1.0500000000000001E-2"/>
    <n v="0.03"/>
    <n v="1.0500000000000001E-2"/>
    <n v="0"/>
    <s v="CATIVO"/>
    <n v="0"/>
    <n v="0"/>
    <n v="34"/>
    <n v="77"/>
    <n v="0"/>
    <n v="131.37"/>
    <n v="65.010000000000005"/>
    <m/>
    <n v="153.49478909228577"/>
    <n v="58.367224355543108"/>
    <n v="0"/>
    <n v="14.770709999999999"/>
    <n v="0"/>
    <n v="15.935050011468844"/>
    <x v="1"/>
  </r>
  <r>
    <s v="Regular"/>
    <x v="0"/>
    <x v="0"/>
    <x v="0"/>
    <x v="1"/>
    <x v="0"/>
    <x v="0"/>
    <x v="0"/>
    <x v="3"/>
    <n v="0"/>
    <n v="0"/>
    <n v="6.03"/>
    <n v="6.03"/>
    <n v="6.03"/>
    <n v="6.03"/>
    <n v="12"/>
    <s v="CATIVO"/>
    <n v="0"/>
    <n v="0"/>
    <n v="34"/>
    <n v="77"/>
    <n v="0"/>
    <n v="131.37"/>
    <n v="65.010000000000005"/>
    <m/>
    <n v="153.49478909228577"/>
    <n v="58.367224355543108"/>
    <n v="0"/>
    <n v="2199.2013000000002"/>
    <n v="0"/>
    <n v="2372.5518905964727"/>
    <x v="1"/>
  </r>
  <r>
    <s v="Regular"/>
    <x v="0"/>
    <x v="0"/>
    <x v="0"/>
    <x v="1"/>
    <x v="0"/>
    <x v="0"/>
    <x v="0"/>
    <x v="4"/>
    <n v="0"/>
    <n v="0"/>
    <n v="5.97"/>
    <n v="5.97"/>
    <n v="5.97"/>
    <n v="5.97"/>
    <n v="10"/>
    <s v="CATIVO"/>
    <n v="0"/>
    <n v="0"/>
    <n v="34"/>
    <n v="77"/>
    <n v="0"/>
    <n v="131.37"/>
    <n v="65.010000000000005"/>
    <m/>
    <n v="153.49478909228577"/>
    <n v="58.367224355543108"/>
    <n v="0"/>
    <n v="2177.3187000000003"/>
    <n v="0"/>
    <n v="2348.9444090980001"/>
    <x v="1"/>
  </r>
  <r>
    <s v="Regular"/>
    <x v="0"/>
    <x v="0"/>
    <x v="0"/>
    <x v="1"/>
    <x v="0"/>
    <x v="0"/>
    <x v="0"/>
    <x v="5"/>
    <n v="0"/>
    <n v="0"/>
    <n v="5.7750000000000004"/>
    <n v="5.7750000000000004"/>
    <n v="5.7750000000000004"/>
    <n v="5.7750000000000004"/>
    <n v="9"/>
    <s v="CATIVO"/>
    <n v="0"/>
    <n v="0"/>
    <n v="34"/>
    <n v="77"/>
    <n v="0"/>
    <n v="131.37"/>
    <n v="65.010000000000005"/>
    <m/>
    <n v="153.49478909228577"/>
    <n v="58.367224355543108"/>
    <n v="0"/>
    <n v="2106.2002500000003"/>
    <n v="0"/>
    <n v="2272.2200942279651"/>
    <x v="1"/>
  </r>
  <r>
    <s v="Sistema de Compensação"/>
    <x v="0"/>
    <x v="0"/>
    <x v="0"/>
    <x v="1"/>
    <x v="0"/>
    <x v="0"/>
    <x v="0"/>
    <x v="5"/>
    <n v="0"/>
    <n v="0"/>
    <n v="0.03"/>
    <n v="1.0500000000000001E-2"/>
    <n v="0.03"/>
    <n v="1.0500000000000001E-2"/>
    <n v="0"/>
    <s v="CATIVO"/>
    <n v="0"/>
    <n v="0"/>
    <n v="34"/>
    <n v="77"/>
    <n v="0"/>
    <n v="131.37"/>
    <n v="65.010000000000005"/>
    <m/>
    <n v="153.49478909228577"/>
    <n v="58.367224355543108"/>
    <n v="0"/>
    <n v="14.770709999999999"/>
    <n v="0"/>
    <n v="15.935050011468844"/>
    <x v="1"/>
  </r>
  <r>
    <s v="Regular"/>
    <x v="0"/>
    <x v="0"/>
    <x v="0"/>
    <x v="1"/>
    <x v="0"/>
    <x v="0"/>
    <x v="0"/>
    <x v="6"/>
    <n v="0"/>
    <n v="0"/>
    <n v="6.54"/>
    <n v="6.54"/>
    <n v="6.54"/>
    <n v="6.54"/>
    <n v="13"/>
    <s v="CATIVO"/>
    <n v="0"/>
    <n v="0"/>
    <n v="34"/>
    <n v="77"/>
    <n v="0"/>
    <n v="131.37"/>
    <n v="65.010000000000005"/>
    <m/>
    <n v="153.49478909228577"/>
    <n v="58.367224355543108"/>
    <n v="0"/>
    <n v="2385.2034000000003"/>
    <n v="0"/>
    <n v="2573.2154833334876"/>
    <x v="1"/>
  </r>
  <r>
    <s v="Sistema de Compensação"/>
    <x v="0"/>
    <x v="0"/>
    <x v="0"/>
    <x v="1"/>
    <x v="0"/>
    <x v="0"/>
    <x v="0"/>
    <x v="6"/>
    <n v="0"/>
    <n v="0"/>
    <n v="0.03"/>
    <n v="1.0500000000000001E-2"/>
    <n v="0.03"/>
    <n v="1.0500000000000001E-2"/>
    <n v="0"/>
    <s v="CATIVO"/>
    <n v="0"/>
    <n v="0"/>
    <n v="34"/>
    <n v="77"/>
    <n v="0"/>
    <n v="131.37"/>
    <n v="65.010000000000005"/>
    <m/>
    <n v="153.49478909228577"/>
    <n v="58.367224355543108"/>
    <n v="0"/>
    <n v="14.770709999999999"/>
    <n v="0"/>
    <n v="15.935050011468844"/>
    <x v="1"/>
  </r>
  <r>
    <s v="Regular"/>
    <x v="0"/>
    <x v="0"/>
    <x v="0"/>
    <x v="1"/>
    <x v="0"/>
    <x v="0"/>
    <x v="0"/>
    <x v="7"/>
    <n v="0"/>
    <n v="0"/>
    <n v="11.1"/>
    <n v="11.1"/>
    <n v="11.1"/>
    <n v="11.1"/>
    <n v="31"/>
    <s v="CATIVO"/>
    <n v="0"/>
    <n v="0"/>
    <n v="34"/>
    <n v="77"/>
    <n v="0"/>
    <n v="131.37"/>
    <n v="65.010000000000005"/>
    <m/>
    <n v="153.49478909228577"/>
    <n v="58.367224355543108"/>
    <n v="0"/>
    <n v="4048.2810000000004"/>
    <n v="0"/>
    <n v="4367.3840772173871"/>
    <x v="1"/>
  </r>
  <r>
    <s v="Refaturamento - Regular"/>
    <x v="0"/>
    <x v="0"/>
    <x v="0"/>
    <x v="1"/>
    <x v="0"/>
    <x v="0"/>
    <x v="0"/>
    <x v="7"/>
    <n v="0"/>
    <n v="0"/>
    <n v="-0.03"/>
    <n v="-0.03"/>
    <n v="-0.03"/>
    <n v="-0.03"/>
    <n v="0"/>
    <s v="CATIVO"/>
    <n v="0"/>
    <n v="0"/>
    <n v="34"/>
    <n v="77"/>
    <n v="0"/>
    <n v="131.37"/>
    <n v="65.010000000000005"/>
    <m/>
    <n v="153.49478909228577"/>
    <n v="58.367224355543108"/>
    <n v="0"/>
    <n v="-10.9413"/>
    <n v="0"/>
    <n v="-11.803740749236182"/>
    <x v="1"/>
  </r>
  <r>
    <s v="Sistema de Compensação"/>
    <x v="0"/>
    <x v="0"/>
    <x v="0"/>
    <x v="1"/>
    <x v="0"/>
    <x v="0"/>
    <x v="0"/>
    <x v="7"/>
    <n v="0"/>
    <n v="0"/>
    <n v="5.2999999999999999E-2"/>
    <n v="-5.0349999999999999E-2"/>
    <n v="5.2999999999999999E-2"/>
    <n v="-5.0349999999999999E-2"/>
    <n v="0"/>
    <s v="CATIVO"/>
    <n v="0"/>
    <n v="0"/>
    <n v="34"/>
    <n v="77"/>
    <n v="0"/>
    <n v="131.37"/>
    <n v="65.010000000000005"/>
    <m/>
    <n v="153.49478909228577"/>
    <n v="58.367224355543108"/>
    <n v="0"/>
    <n v="39.625503000000002"/>
    <n v="0"/>
    <n v="42.749214413483699"/>
    <x v="1"/>
  </r>
  <r>
    <s v="Regular"/>
    <x v="0"/>
    <x v="0"/>
    <x v="0"/>
    <x v="1"/>
    <x v="0"/>
    <x v="0"/>
    <x v="0"/>
    <x v="8"/>
    <n v="0"/>
    <n v="0"/>
    <n v="8.52"/>
    <n v="8.52"/>
    <n v="8.52"/>
    <n v="8.52"/>
    <n v="26"/>
    <s v="CATIVO"/>
    <n v="0"/>
    <n v="0"/>
    <n v="34"/>
    <n v="77"/>
    <n v="0"/>
    <n v="131.37"/>
    <n v="65.010000000000005"/>
    <m/>
    <n v="153.49478909228577"/>
    <n v="58.367224355543108"/>
    <n v="0"/>
    <n v="3107.3292000000001"/>
    <n v="0"/>
    <n v="3352.2623727830755"/>
    <x v="1"/>
  </r>
  <r>
    <s v="Sistema de Compensação"/>
    <x v="0"/>
    <x v="0"/>
    <x v="0"/>
    <x v="1"/>
    <x v="0"/>
    <x v="0"/>
    <x v="0"/>
    <x v="8"/>
    <n v="0"/>
    <n v="0"/>
    <n v="0.03"/>
    <n v="-2.8500000000000001E-2"/>
    <n v="0.03"/>
    <n v="-2.8500000000000001E-2"/>
    <n v="0"/>
    <s v="CATIVO"/>
    <n v="0"/>
    <n v="0"/>
    <n v="34"/>
    <n v="77"/>
    <n v="0"/>
    <n v="131.37"/>
    <n v="65.010000000000005"/>
    <m/>
    <n v="153.49478909228577"/>
    <n v="58.367224355543108"/>
    <n v="0"/>
    <n v="22.42953"/>
    <n v="0"/>
    <n v="24.19766853593417"/>
    <x v="1"/>
  </r>
  <r>
    <s v="Regular"/>
    <x v="0"/>
    <x v="0"/>
    <x v="0"/>
    <x v="1"/>
    <x v="0"/>
    <x v="0"/>
    <x v="0"/>
    <x v="9"/>
    <n v="0"/>
    <n v="0"/>
    <n v="8.6999999999999993"/>
    <n v="8.6999999999999993"/>
    <n v="8.6999999999999993"/>
    <n v="8.6999999999999993"/>
    <n v="29"/>
    <s v="CATIVO"/>
    <n v="0"/>
    <n v="0"/>
    <n v="34"/>
    <n v="77"/>
    <n v="0"/>
    <n v="131.37"/>
    <n v="65.010000000000005"/>
    <m/>
    <n v="153.49478909228577"/>
    <n v="58.367224355543108"/>
    <n v="0"/>
    <n v="3172.9769999999999"/>
    <n v="0"/>
    <n v="3423.0848172784927"/>
    <x v="1"/>
  </r>
  <r>
    <s v="Regular"/>
    <x v="0"/>
    <x v="0"/>
    <x v="0"/>
    <x v="1"/>
    <x v="0"/>
    <x v="0"/>
    <x v="0"/>
    <x v="10"/>
    <n v="0"/>
    <n v="0"/>
    <n v="8.5500000000000007"/>
    <n v="8.5500000000000007"/>
    <n v="8.5500000000000007"/>
    <n v="8.5500000000000007"/>
    <n v="29"/>
    <s v="CATIVO"/>
    <n v="0"/>
    <n v="0"/>
    <n v="34"/>
    <n v="77"/>
    <n v="0"/>
    <n v="131.37"/>
    <n v="65.010000000000005"/>
    <m/>
    <n v="153.49478909228577"/>
    <n v="58.367224355543108"/>
    <n v="0"/>
    <n v="3118.2705000000005"/>
    <n v="0"/>
    <n v="3364.0661135323121"/>
    <x v="1"/>
  </r>
  <r>
    <s v="Regular"/>
    <x v="0"/>
    <x v="0"/>
    <x v="0"/>
    <x v="1"/>
    <x v="0"/>
    <x v="0"/>
    <x v="0"/>
    <x v="11"/>
    <n v="0"/>
    <n v="0"/>
    <n v="6.75"/>
    <n v="6.75"/>
    <n v="6.75"/>
    <n v="6.75"/>
    <n v="19"/>
    <s v="CATIVO"/>
    <n v="0"/>
    <n v="0"/>
    <n v="34"/>
    <n v="77"/>
    <n v="0"/>
    <n v="131.37"/>
    <n v="65.010000000000005"/>
    <m/>
    <n v="153.49478909228577"/>
    <n v="58.367224355543108"/>
    <n v="0"/>
    <n v="2461.7925000000005"/>
    <n v="0"/>
    <n v="2655.8416685781408"/>
    <x v="1"/>
  </r>
  <r>
    <s v="Regular"/>
    <x v="0"/>
    <x v="0"/>
    <x v="0"/>
    <x v="2"/>
    <x v="0"/>
    <x v="0"/>
    <x v="0"/>
    <x v="0"/>
    <n v="0"/>
    <n v="0"/>
    <n v="12.154999999999999"/>
    <n v="12.154999999999999"/>
    <n v="12.154999999999999"/>
    <n v="12.154999999999999"/>
    <n v="36"/>
    <s v="CATIVO"/>
    <n v="0"/>
    <n v="0"/>
    <n v="36"/>
    <n v="78"/>
    <n v="0"/>
    <n v="225.21"/>
    <n v="111.45"/>
    <m/>
    <n v="263.1339241582042"/>
    <n v="100.05809889521676"/>
    <n v="0"/>
    <n v="2727.9466499999999"/>
    <n v="0"/>
    <n v="2943.0660268095548"/>
    <x v="1"/>
  </r>
  <r>
    <s v="Regular"/>
    <x v="0"/>
    <x v="0"/>
    <x v="0"/>
    <x v="2"/>
    <x v="0"/>
    <x v="0"/>
    <x v="0"/>
    <x v="1"/>
    <n v="0"/>
    <n v="0"/>
    <n v="12.137"/>
    <n v="12.137"/>
    <n v="12.137"/>
    <n v="12.137"/>
    <n v="37"/>
    <s v="CATIVO"/>
    <n v="0"/>
    <n v="0"/>
    <n v="36"/>
    <n v="78"/>
    <n v="0"/>
    <n v="225.21"/>
    <n v="111.45"/>
    <m/>
    <n v="263.1339241582042"/>
    <n v="100.05809889521676"/>
    <n v="0"/>
    <n v="2723.9069100000002"/>
    <n v="0"/>
    <n v="2938.707722532914"/>
    <x v="1"/>
  </r>
  <r>
    <s v="Regular"/>
    <x v="0"/>
    <x v="0"/>
    <x v="0"/>
    <x v="2"/>
    <x v="0"/>
    <x v="0"/>
    <x v="0"/>
    <x v="2"/>
    <n v="0"/>
    <n v="0"/>
    <n v="12.07"/>
    <n v="12.07"/>
    <n v="12.07"/>
    <n v="12.07"/>
    <n v="48"/>
    <s v="CATIVO"/>
    <n v="0"/>
    <n v="0"/>
    <n v="36"/>
    <n v="78"/>
    <n v="0"/>
    <n v="225.21"/>
    <n v="111.45"/>
    <m/>
    <n v="263.1339241582042"/>
    <n v="100.05809889521676"/>
    <n v="0"/>
    <n v="2708.8701000000001"/>
    <n v="0"/>
    <n v="2922.4851455031944"/>
    <x v="1"/>
  </r>
  <r>
    <s v="Refaturamento - Regular"/>
    <x v="0"/>
    <x v="0"/>
    <x v="0"/>
    <x v="2"/>
    <x v="0"/>
    <x v="0"/>
    <x v="0"/>
    <x v="2"/>
    <n v="0"/>
    <n v="0"/>
    <n v="-5.1999999999999998E-2"/>
    <n v="-5.1999999999999998E-2"/>
    <n v="-5.1999999999999998E-2"/>
    <n v="-5.1999999999999998E-2"/>
    <n v="0"/>
    <s v="CATIVO"/>
    <n v="0"/>
    <n v="0"/>
    <n v="36"/>
    <n v="78"/>
    <n v="0"/>
    <n v="225.21"/>
    <n v="111.45"/>
    <m/>
    <n v="263.1339241582042"/>
    <n v="100.05809889521676"/>
    <n v="0"/>
    <n v="-11.670360000000001"/>
    <n v="0"/>
    <n v="-12.590656799185261"/>
    <x v="1"/>
  </r>
  <r>
    <s v="Sistema de Compensação"/>
    <x v="0"/>
    <x v="0"/>
    <x v="0"/>
    <x v="2"/>
    <x v="0"/>
    <x v="0"/>
    <x v="0"/>
    <x v="2"/>
    <n v="0"/>
    <n v="0"/>
    <n v="2.8000000000000001E-2"/>
    <n v="1.6799999999999999E-2"/>
    <n v="2.8000000000000001E-2"/>
    <n v="1.6799999999999999E-2"/>
    <n v="0"/>
    <s v="CATIVO"/>
    <n v="0"/>
    <n v="0"/>
    <n v="36"/>
    <n v="78"/>
    <n v="0"/>
    <n v="225.21"/>
    <n v="111.45"/>
    <m/>
    <n v="263.1339241582042"/>
    <n v="100.05809889521676"/>
    <n v="0"/>
    <n v="10.054632000000002"/>
    <n v="0"/>
    <n v="10.84733508852884"/>
    <x v="1"/>
  </r>
  <r>
    <s v="Regular"/>
    <x v="0"/>
    <x v="0"/>
    <x v="0"/>
    <x v="2"/>
    <x v="0"/>
    <x v="0"/>
    <x v="0"/>
    <x v="3"/>
    <n v="0"/>
    <n v="0"/>
    <n v="12.305999999999999"/>
    <n v="12.305999999999999"/>
    <n v="12.305999999999999"/>
    <n v="12.305999999999999"/>
    <n v="36"/>
    <s v="CATIVO"/>
    <n v="0"/>
    <n v="0"/>
    <n v="36"/>
    <n v="78"/>
    <n v="0"/>
    <n v="225.21"/>
    <n v="111.45"/>
    <m/>
    <n v="263.1339241582042"/>
    <n v="100.05809889521676"/>
    <n v="0"/>
    <n v="2761.8355799999999"/>
    <n v="0"/>
    <n v="2979.6273571302659"/>
    <x v="1"/>
  </r>
  <r>
    <s v="Regular"/>
    <x v="0"/>
    <x v="0"/>
    <x v="0"/>
    <x v="2"/>
    <x v="0"/>
    <x v="0"/>
    <x v="0"/>
    <x v="4"/>
    <n v="0"/>
    <n v="0"/>
    <n v="12.425000000000001"/>
    <n v="12.425000000000001"/>
    <n v="12.425000000000001"/>
    <n v="12.425000000000001"/>
    <n v="30"/>
    <s v="CATIVO"/>
    <n v="0"/>
    <n v="0"/>
    <n v="36"/>
    <n v="78"/>
    <n v="0"/>
    <n v="225.21"/>
    <n v="111.45"/>
    <m/>
    <n v="263.1339241582042"/>
    <n v="100.05809889521676"/>
    <n v="0"/>
    <n v="2788.5427500000001"/>
    <n v="0"/>
    <n v="3008.4405909591705"/>
    <x v="1"/>
  </r>
  <r>
    <s v="Regular"/>
    <x v="0"/>
    <x v="0"/>
    <x v="0"/>
    <x v="2"/>
    <x v="0"/>
    <x v="0"/>
    <x v="0"/>
    <x v="5"/>
    <n v="0"/>
    <n v="0"/>
    <n v="12.778"/>
    <n v="12.778"/>
    <n v="12.778"/>
    <n v="12.778"/>
    <n v="23"/>
    <s v="CATIVO"/>
    <n v="0"/>
    <n v="0"/>
    <n v="36"/>
    <n v="78"/>
    <n v="0"/>
    <n v="225.21"/>
    <n v="111.45"/>
    <m/>
    <n v="263.1339241582042"/>
    <n v="100.05809889521676"/>
    <n v="0"/>
    <n v="2867.7665400000001"/>
    <n v="0"/>
    <n v="3093.9117803844092"/>
    <x v="1"/>
  </r>
  <r>
    <s v="Regular"/>
    <x v="0"/>
    <x v="0"/>
    <x v="0"/>
    <x v="2"/>
    <x v="0"/>
    <x v="0"/>
    <x v="0"/>
    <x v="6"/>
    <n v="0"/>
    <n v="0"/>
    <n v="13.773"/>
    <n v="13.773"/>
    <n v="13.773"/>
    <n v="13.773"/>
    <n v="23"/>
    <s v="CATIVO"/>
    <n v="0"/>
    <n v="0"/>
    <n v="36"/>
    <n v="78"/>
    <n v="0"/>
    <n v="225.21"/>
    <n v="111.45"/>
    <m/>
    <n v="263.1339241582042"/>
    <n v="100.05809889521676"/>
    <n v="0"/>
    <n v="3091.0743900000002"/>
    <n v="0"/>
    <n v="3334.8291556765116"/>
    <x v="1"/>
  </r>
  <r>
    <s v="Regular"/>
    <x v="0"/>
    <x v="0"/>
    <x v="0"/>
    <x v="2"/>
    <x v="0"/>
    <x v="0"/>
    <x v="0"/>
    <x v="7"/>
    <n v="0"/>
    <n v="0"/>
    <n v="22.285"/>
    <n v="22.285"/>
    <n v="22.285"/>
    <n v="22.285"/>
    <n v="45"/>
    <s v="CATIVO"/>
    <n v="0"/>
    <n v="0"/>
    <n v="36"/>
    <n v="78"/>
    <n v="0"/>
    <n v="225.21"/>
    <n v="111.45"/>
    <m/>
    <n v="263.1339241582042"/>
    <n v="100.05809889521676"/>
    <n v="0"/>
    <n v="5001.4225500000002"/>
    <n v="0"/>
    <n v="5395.8228224969916"/>
    <x v="1"/>
  </r>
  <r>
    <s v="Refaturamento - Regular"/>
    <x v="0"/>
    <x v="0"/>
    <x v="0"/>
    <x v="2"/>
    <x v="0"/>
    <x v="0"/>
    <x v="0"/>
    <x v="7"/>
    <n v="0"/>
    <n v="0"/>
    <n v="-7.0000000000000007E-2"/>
    <n v="-7.0000000000000007E-2"/>
    <n v="-7.0000000000000007E-2"/>
    <n v="-7.0000000000000007E-2"/>
    <n v="0"/>
    <s v="CATIVO"/>
    <n v="0"/>
    <n v="0"/>
    <n v="36"/>
    <n v="78"/>
    <n v="0"/>
    <n v="225.21"/>
    <n v="111.45"/>
    <m/>
    <n v="263.1339241582042"/>
    <n v="100.05809889521676"/>
    <n v="0"/>
    <n v="-15.710100000000002"/>
    <n v="0"/>
    <n v="-16.948961075826315"/>
    <x v="1"/>
  </r>
  <r>
    <s v="Regular"/>
    <x v="0"/>
    <x v="0"/>
    <x v="0"/>
    <x v="2"/>
    <x v="0"/>
    <x v="0"/>
    <x v="0"/>
    <x v="8"/>
    <n v="0"/>
    <n v="0"/>
    <n v="16.582000000000001"/>
    <n v="16.582000000000001"/>
    <n v="16.582000000000001"/>
    <n v="16.582000000000001"/>
    <n v="51"/>
    <s v="CATIVO"/>
    <n v="0"/>
    <n v="0"/>
    <n v="36"/>
    <n v="78"/>
    <n v="0"/>
    <n v="225.21"/>
    <n v="111.45"/>
    <m/>
    <n v="263.1339241582042"/>
    <n v="100.05809889521676"/>
    <n v="0"/>
    <n v="3721.4982600000003"/>
    <n v="0"/>
    <n v="4014.9667508478847"/>
    <x v="1"/>
  </r>
  <r>
    <s v="Sistema de Compensação"/>
    <x v="0"/>
    <x v="0"/>
    <x v="0"/>
    <x v="2"/>
    <x v="0"/>
    <x v="0"/>
    <x v="0"/>
    <x v="8"/>
    <n v="0"/>
    <n v="0"/>
    <n v="7.0000000000000007E-2"/>
    <n v="-1.4E-2"/>
    <n v="7.0000000000000007E-2"/>
    <n v="-1.4E-2"/>
    <n v="0"/>
    <s v="CATIVO"/>
    <n v="0"/>
    <n v="0"/>
    <n v="36"/>
    <n v="78"/>
    <n v="0"/>
    <n v="225.21"/>
    <n v="111.45"/>
    <m/>
    <n v="263.1339241582042"/>
    <n v="100.05809889521676"/>
    <n v="0"/>
    <n v="43.989540000000005"/>
    <n v="0"/>
    <n v="47.457091012313676"/>
    <x v="1"/>
  </r>
  <r>
    <s v="Regular"/>
    <x v="0"/>
    <x v="0"/>
    <x v="0"/>
    <x v="2"/>
    <x v="0"/>
    <x v="0"/>
    <x v="0"/>
    <x v="9"/>
    <n v="0"/>
    <n v="0"/>
    <n v="16.468"/>
    <n v="16.468"/>
    <n v="16.468"/>
    <n v="16.468"/>
    <n v="55"/>
    <s v="CATIVO"/>
    <n v="0"/>
    <n v="0"/>
    <n v="36"/>
    <n v="78"/>
    <n v="0"/>
    <n v="225.21"/>
    <n v="111.45"/>
    <m/>
    <n v="263.1339241582042"/>
    <n v="100.05809889521676"/>
    <n v="0"/>
    <n v="3695.9132400000003"/>
    <n v="0"/>
    <n v="3987.3641570958248"/>
    <x v="1"/>
  </r>
  <r>
    <s v="Regular"/>
    <x v="0"/>
    <x v="0"/>
    <x v="0"/>
    <x v="2"/>
    <x v="0"/>
    <x v="0"/>
    <x v="0"/>
    <x v="10"/>
    <n v="0"/>
    <n v="0"/>
    <n v="15.904"/>
    <n v="15.904"/>
    <n v="15.904"/>
    <n v="15.904"/>
    <n v="66"/>
    <s v="CATIVO"/>
    <n v="0"/>
    <n v="0"/>
    <n v="36"/>
    <n v="78"/>
    <n v="0"/>
    <n v="225.21"/>
    <n v="111.45"/>
    <m/>
    <n v="263.1339241582042"/>
    <n v="100.05809889521676"/>
    <n v="0"/>
    <n v="3569.3347200000003"/>
    <n v="0"/>
    <n v="3850.8039564277383"/>
    <x v="1"/>
  </r>
  <r>
    <s v="Regular"/>
    <x v="0"/>
    <x v="0"/>
    <x v="0"/>
    <x v="2"/>
    <x v="0"/>
    <x v="0"/>
    <x v="0"/>
    <x v="11"/>
    <n v="0"/>
    <n v="0"/>
    <n v="13.456"/>
    <n v="13.456"/>
    <n v="13.456"/>
    <n v="13.456"/>
    <n v="33"/>
    <s v="CATIVO"/>
    <n v="0"/>
    <n v="0"/>
    <n v="36"/>
    <n v="78"/>
    <n v="0"/>
    <n v="225.21"/>
    <n v="111.45"/>
    <m/>
    <n v="263.1339241582042"/>
    <n v="100.05809889521676"/>
    <n v="0"/>
    <n v="3019.9300800000001"/>
    <n v="0"/>
    <n v="3258.0745748045551"/>
    <x v="1"/>
  </r>
  <r>
    <s v="Regular"/>
    <x v="0"/>
    <x v="0"/>
    <x v="0"/>
    <x v="3"/>
    <x v="0"/>
    <x v="0"/>
    <x v="0"/>
    <x v="0"/>
    <n v="0"/>
    <n v="0"/>
    <n v="11.212"/>
    <n v="11.212"/>
    <n v="11.212"/>
    <n v="11.212"/>
    <n v="114"/>
    <s v="CATIVO"/>
    <n v="0"/>
    <n v="0"/>
    <n v="38"/>
    <n v="79"/>
    <n v="0"/>
    <n v="337.82"/>
    <n v="167.17"/>
    <m/>
    <n v="394.70088623730635"/>
    <n v="150.08714834282515"/>
    <n v="0"/>
    <n v="628.99320000000057"/>
    <n v="0"/>
    <n v="678.68482707915871"/>
    <x v="1"/>
  </r>
  <r>
    <s v="Regular"/>
    <x v="0"/>
    <x v="0"/>
    <x v="0"/>
    <x v="3"/>
    <x v="0"/>
    <x v="0"/>
    <x v="0"/>
    <x v="1"/>
    <n v="0"/>
    <n v="0"/>
    <n v="11.162000000000001"/>
    <n v="11.162000000000001"/>
    <n v="11.162000000000001"/>
    <n v="11.162000000000001"/>
    <n v="109"/>
    <s v="CATIVO"/>
    <n v="0"/>
    <n v="0"/>
    <n v="38"/>
    <n v="79"/>
    <n v="0"/>
    <n v="337.82"/>
    <n v="167.17"/>
    <m/>
    <n v="394.70088623730635"/>
    <n v="150.08714834282515"/>
    <n v="0"/>
    <n v="626.18820000000062"/>
    <n v="0"/>
    <n v="675.65822688704691"/>
    <x v="1"/>
  </r>
  <r>
    <s v="Regular"/>
    <x v="0"/>
    <x v="0"/>
    <x v="0"/>
    <x v="3"/>
    <x v="0"/>
    <x v="0"/>
    <x v="0"/>
    <x v="2"/>
    <n v="0"/>
    <n v="0"/>
    <n v="10.247999999999999"/>
    <n v="10.247999999999999"/>
    <n v="10.247999999999999"/>
    <n v="10.247999999999999"/>
    <n v="106"/>
    <s v="CATIVO"/>
    <n v="0"/>
    <n v="0"/>
    <n v="38"/>
    <n v="79"/>
    <n v="0"/>
    <n v="337.82"/>
    <n v="167.17"/>
    <m/>
    <n v="394.70088623730635"/>
    <n v="150.08714834282515"/>
    <n v="0"/>
    <n v="574.91280000000052"/>
    <n v="0"/>
    <n v="620.33197537524245"/>
    <x v="1"/>
  </r>
  <r>
    <s v="Refaturamento - Regular"/>
    <x v="0"/>
    <x v="0"/>
    <x v="0"/>
    <x v="3"/>
    <x v="0"/>
    <x v="0"/>
    <x v="0"/>
    <x v="2"/>
    <n v="0"/>
    <n v="0"/>
    <n v="4.7E-2"/>
    <n v="4.7E-2"/>
    <n v="4.7E-2"/>
    <n v="4.7E-2"/>
    <n v="0"/>
    <s v="CATIVO"/>
    <n v="0"/>
    <n v="0"/>
    <n v="38"/>
    <n v="79"/>
    <n v="0"/>
    <n v="337.82"/>
    <n v="167.17"/>
    <m/>
    <n v="394.70088623730635"/>
    <n v="150.08714834282515"/>
    <n v="0"/>
    <n v="2.6367000000000025"/>
    <n v="0"/>
    <n v="2.8450041805851285"/>
    <x v="1"/>
  </r>
  <r>
    <s v="Regular"/>
    <x v="0"/>
    <x v="0"/>
    <x v="0"/>
    <x v="3"/>
    <x v="0"/>
    <x v="0"/>
    <x v="0"/>
    <x v="3"/>
    <n v="0"/>
    <n v="0"/>
    <n v="11.436999999999999"/>
    <n v="11.436999999999999"/>
    <n v="11.436999999999999"/>
    <n v="11.436999999999999"/>
    <n v="111"/>
    <s v="CATIVO"/>
    <n v="0"/>
    <n v="0"/>
    <n v="38"/>
    <n v="79"/>
    <n v="0"/>
    <n v="337.82"/>
    <n v="167.17"/>
    <m/>
    <n v="394.70088623730635"/>
    <n v="150.08714834282515"/>
    <n v="0"/>
    <n v="641.61570000000052"/>
    <n v="0"/>
    <n v="692.30452794366192"/>
    <x v="1"/>
  </r>
  <r>
    <s v="Regular"/>
    <x v="0"/>
    <x v="0"/>
    <x v="0"/>
    <x v="3"/>
    <x v="0"/>
    <x v="0"/>
    <x v="0"/>
    <x v="4"/>
    <n v="0"/>
    <n v="0"/>
    <n v="13.813000000000001"/>
    <n v="13.813000000000001"/>
    <n v="13.813000000000001"/>
    <n v="13.813000000000001"/>
    <n v="92"/>
    <s v="CATIVO"/>
    <n v="0"/>
    <n v="0"/>
    <n v="38"/>
    <n v="79"/>
    <n v="0"/>
    <n v="337.82"/>
    <n v="167.17"/>
    <m/>
    <n v="394.70088623730635"/>
    <n v="150.08714834282515"/>
    <n v="0"/>
    <n v="774.90930000000071"/>
    <n v="0"/>
    <n v="836.12856907281662"/>
    <x v="1"/>
  </r>
  <r>
    <s v="Regular"/>
    <x v="0"/>
    <x v="0"/>
    <x v="0"/>
    <x v="3"/>
    <x v="0"/>
    <x v="0"/>
    <x v="0"/>
    <x v="5"/>
    <n v="0"/>
    <n v="0"/>
    <n v="14.574"/>
    <n v="14.574"/>
    <n v="14.574"/>
    <n v="14.574"/>
    <n v="84"/>
    <s v="CATIVO"/>
    <n v="0"/>
    <n v="0"/>
    <n v="38"/>
    <n v="79"/>
    <n v="0"/>
    <n v="337.82"/>
    <n v="167.17"/>
    <m/>
    <n v="394.70088623730635"/>
    <n v="150.08714834282515"/>
    <n v="0"/>
    <n v="817.60140000000069"/>
    <n v="0"/>
    <n v="882.19342399675872"/>
    <x v="1"/>
  </r>
  <r>
    <s v="Regular"/>
    <x v="0"/>
    <x v="0"/>
    <x v="0"/>
    <x v="3"/>
    <x v="0"/>
    <x v="0"/>
    <x v="0"/>
    <x v="6"/>
    <n v="0"/>
    <n v="0"/>
    <n v="15.63"/>
    <n v="15.63"/>
    <n v="15.63"/>
    <n v="15.63"/>
    <n v="99"/>
    <s v="CATIVO"/>
    <n v="0"/>
    <n v="0"/>
    <n v="38"/>
    <n v="79"/>
    <n v="0"/>
    <n v="337.82"/>
    <n v="167.17"/>
    <m/>
    <n v="394.70088623730635"/>
    <n v="150.08714834282515"/>
    <n v="0"/>
    <n v="876.84300000000087"/>
    <n v="0"/>
    <n v="946.11522005416089"/>
    <x v="1"/>
  </r>
  <r>
    <s v="Regular"/>
    <x v="0"/>
    <x v="0"/>
    <x v="0"/>
    <x v="3"/>
    <x v="0"/>
    <x v="0"/>
    <x v="0"/>
    <x v="7"/>
    <n v="0"/>
    <n v="0"/>
    <n v="25.216000000000001"/>
    <n v="25.216000000000001"/>
    <n v="25.216000000000001"/>
    <n v="25.216000000000001"/>
    <n v="172"/>
    <s v="CATIVO"/>
    <n v="0"/>
    <n v="0"/>
    <n v="38"/>
    <n v="79"/>
    <n v="0"/>
    <n v="337.82"/>
    <n v="167.17"/>
    <m/>
    <n v="394.70088623730635"/>
    <n v="150.08714834282515"/>
    <n v="0"/>
    <n v="1414.6176000000014"/>
    <n v="0"/>
    <n v="1526.3750088858426"/>
    <x v="1"/>
  </r>
  <r>
    <s v="Refaturamento - Regular"/>
    <x v="0"/>
    <x v="0"/>
    <x v="0"/>
    <x v="3"/>
    <x v="0"/>
    <x v="0"/>
    <x v="0"/>
    <x v="7"/>
    <n v="0"/>
    <n v="0"/>
    <n v="-0.05"/>
    <n v="-0.05"/>
    <n v="-0.05"/>
    <n v="-0.05"/>
    <n v="0"/>
    <s v="CATIVO"/>
    <n v="0"/>
    <n v="0"/>
    <n v="38"/>
    <n v="79"/>
    <n v="0"/>
    <n v="337.82"/>
    <n v="167.17"/>
    <m/>
    <n v="394.70088623730635"/>
    <n v="150.08714834282515"/>
    <n v="0"/>
    <n v="-2.8050000000000028"/>
    <n v="0"/>
    <n v="-3.0266001921118391"/>
    <x v="1"/>
  </r>
  <r>
    <s v="Regular"/>
    <x v="0"/>
    <x v="0"/>
    <x v="0"/>
    <x v="3"/>
    <x v="0"/>
    <x v="0"/>
    <x v="0"/>
    <x v="8"/>
    <n v="0"/>
    <n v="0"/>
    <n v="15.872"/>
    <n v="15.872"/>
    <n v="15.872"/>
    <n v="15.872"/>
    <n v="135"/>
    <s v="CATIVO"/>
    <n v="0"/>
    <n v="0"/>
    <n v="38"/>
    <n v="79"/>
    <n v="0"/>
    <n v="337.82"/>
    <n v="167.17"/>
    <m/>
    <n v="394.70088623730635"/>
    <n v="150.08714834282515"/>
    <n v="0"/>
    <n v="890.41920000000084"/>
    <n v="0"/>
    <n v="960.76396498398208"/>
    <x v="1"/>
  </r>
  <r>
    <s v="Sistema de Compensação"/>
    <x v="0"/>
    <x v="0"/>
    <x v="0"/>
    <x v="3"/>
    <x v="0"/>
    <x v="0"/>
    <x v="0"/>
    <x v="8"/>
    <n v="0"/>
    <n v="0"/>
    <n v="3.4000000000000002E-2"/>
    <n v="2.3800000000000002E-2"/>
    <n v="3.4000000000000002E-2"/>
    <n v="2.3800000000000002E-2"/>
    <n v="0"/>
    <s v="CATIVO"/>
    <n v="0"/>
    <n v="0"/>
    <n v="38"/>
    <n v="79"/>
    <n v="0"/>
    <n v="337.82"/>
    <n v="167.17"/>
    <m/>
    <n v="394.70088623730635"/>
    <n v="150.08714834282515"/>
    <n v="0"/>
    <n v="7.0582980000000024"/>
    <n v="0"/>
    <n v="7.6149260833533923"/>
    <x v="1"/>
  </r>
  <r>
    <s v="Regular"/>
    <x v="0"/>
    <x v="0"/>
    <x v="0"/>
    <x v="3"/>
    <x v="0"/>
    <x v="0"/>
    <x v="0"/>
    <x v="9"/>
    <n v="0"/>
    <n v="0"/>
    <n v="17.007999999999999"/>
    <n v="17.007999999999999"/>
    <n v="17.007999999999999"/>
    <n v="17.007999999999999"/>
    <n v="129"/>
    <s v="CATIVO"/>
    <n v="0"/>
    <n v="0"/>
    <n v="38"/>
    <n v="79"/>
    <n v="0"/>
    <n v="337.82"/>
    <n v="167.17"/>
    <m/>
    <n v="394.70088623730635"/>
    <n v="150.08714834282515"/>
    <n v="0"/>
    <n v="954.14880000000085"/>
    <n v="0"/>
    <n v="1029.528321348763"/>
    <x v="1"/>
  </r>
  <r>
    <s v="Regular"/>
    <x v="0"/>
    <x v="0"/>
    <x v="0"/>
    <x v="3"/>
    <x v="0"/>
    <x v="0"/>
    <x v="0"/>
    <x v="10"/>
    <n v="0"/>
    <n v="0"/>
    <n v="13.869"/>
    <n v="13.869"/>
    <n v="13.869"/>
    <n v="13.869"/>
    <n v="138"/>
    <s v="CATIVO"/>
    <n v="0"/>
    <n v="0"/>
    <n v="38"/>
    <n v="79"/>
    <n v="0"/>
    <n v="337.82"/>
    <n v="167.17"/>
    <m/>
    <n v="394.70088623730635"/>
    <n v="150.08714834282515"/>
    <n v="0"/>
    <n v="778.05090000000075"/>
    <n v="0"/>
    <n v="839.51836128798186"/>
    <x v="1"/>
  </r>
  <r>
    <s v="Regular"/>
    <x v="0"/>
    <x v="0"/>
    <x v="0"/>
    <x v="3"/>
    <x v="0"/>
    <x v="0"/>
    <x v="0"/>
    <x v="11"/>
    <n v="0"/>
    <n v="0"/>
    <n v="14.058999999999999"/>
    <n v="14.058999999999999"/>
    <n v="14.058999999999999"/>
    <n v="14.058999999999999"/>
    <n v="108"/>
    <s v="CATIVO"/>
    <n v="0"/>
    <n v="0"/>
    <n v="38"/>
    <n v="79"/>
    <n v="0"/>
    <n v="337.82"/>
    <n v="167.17"/>
    <m/>
    <n v="394.70088623730635"/>
    <n v="150.08714834282515"/>
    <n v="0"/>
    <n v="788.70990000000063"/>
    <n v="0"/>
    <n v="851.01944201800677"/>
    <x v="1"/>
  </r>
  <r>
    <s v="Regular"/>
    <x v="0"/>
    <x v="0"/>
    <x v="0"/>
    <x v="4"/>
    <x v="0"/>
    <x v="0"/>
    <x v="0"/>
    <x v="0"/>
    <n v="0"/>
    <n v="0"/>
    <n v="2.7719999999999998"/>
    <n v="2.7719999999999998"/>
    <n v="2.7719999999999998"/>
    <n v="2.7719999999999998"/>
    <n v="38"/>
    <s v="CATIVO"/>
    <n v="0"/>
    <n v="0"/>
    <n v="40"/>
    <n v="80"/>
    <n v="0"/>
    <n v="375.35"/>
    <n v="185.74"/>
    <m/>
    <n v="438.5565402636737"/>
    <n v="166.7634981586946"/>
    <n v="0"/>
    <n v="0"/>
    <n v="0"/>
    <n v="-7.8784978541079903E-14"/>
    <x v="1"/>
  </r>
  <r>
    <s v="Regular"/>
    <x v="0"/>
    <x v="0"/>
    <x v="0"/>
    <x v="4"/>
    <x v="0"/>
    <x v="0"/>
    <x v="0"/>
    <x v="1"/>
    <n v="0"/>
    <n v="0"/>
    <n v="2.9910000000000001"/>
    <n v="2.9910000000000001"/>
    <n v="2.9910000000000001"/>
    <n v="2.9910000000000001"/>
    <n v="40"/>
    <s v="CATIVO"/>
    <n v="0"/>
    <n v="0"/>
    <n v="40"/>
    <n v="80"/>
    <n v="0"/>
    <n v="375.35"/>
    <n v="185.74"/>
    <m/>
    <n v="438.5565402636737"/>
    <n v="166.7634981586946"/>
    <n v="0"/>
    <n v="0"/>
    <n v="0"/>
    <n v="-8.5009332906338389E-14"/>
    <x v="1"/>
  </r>
  <r>
    <s v="Regular"/>
    <x v="0"/>
    <x v="0"/>
    <x v="0"/>
    <x v="4"/>
    <x v="0"/>
    <x v="0"/>
    <x v="0"/>
    <x v="2"/>
    <n v="0"/>
    <n v="0"/>
    <n v="2.5720000000000001"/>
    <n v="2.5720000000000001"/>
    <n v="2.5720000000000001"/>
    <n v="2.5720000000000001"/>
    <n v="36"/>
    <s v="CATIVO"/>
    <n v="0"/>
    <n v="0"/>
    <n v="40"/>
    <n v="80"/>
    <n v="0"/>
    <n v="375.35"/>
    <n v="185.74"/>
    <m/>
    <n v="438.5565402636737"/>
    <n v="166.7634981586946"/>
    <n v="0"/>
    <n v="0"/>
    <n v="0"/>
    <n v="-7.3100636654999109E-14"/>
    <x v="1"/>
  </r>
  <r>
    <s v="Refaturamento - Regular"/>
    <x v="0"/>
    <x v="0"/>
    <x v="0"/>
    <x v="4"/>
    <x v="0"/>
    <x v="0"/>
    <x v="0"/>
    <x v="2"/>
    <n v="0"/>
    <n v="0"/>
    <n v="0.01"/>
    <n v="0.01"/>
    <n v="0.01"/>
    <n v="0.01"/>
    <n v="0"/>
    <s v="CATIVO"/>
    <n v="0"/>
    <n v="0"/>
    <n v="40"/>
    <n v="80"/>
    <n v="0"/>
    <n v="375.35"/>
    <n v="185.74"/>
    <m/>
    <n v="438.5565402636737"/>
    <n v="166.7634981586946"/>
    <n v="0"/>
    <n v="0"/>
    <n v="0"/>
    <n v="-2.8421709430404008E-16"/>
    <x v="1"/>
  </r>
  <r>
    <s v="Regular"/>
    <x v="0"/>
    <x v="0"/>
    <x v="0"/>
    <x v="4"/>
    <x v="0"/>
    <x v="0"/>
    <x v="0"/>
    <x v="3"/>
    <n v="0"/>
    <n v="0"/>
    <n v="2.5059999999999998"/>
    <n v="2.5059999999999998"/>
    <n v="2.5059999999999998"/>
    <n v="2.5059999999999998"/>
    <n v="43"/>
    <s v="CATIVO"/>
    <n v="0"/>
    <n v="0"/>
    <n v="40"/>
    <n v="80"/>
    <n v="0"/>
    <n v="375.35"/>
    <n v="185.74"/>
    <m/>
    <n v="438.5565402636737"/>
    <n v="166.7634981586946"/>
    <n v="0"/>
    <n v="0"/>
    <n v="0"/>
    <n v="-7.1224803832592436E-14"/>
    <x v="1"/>
  </r>
  <r>
    <s v="Regular"/>
    <x v="0"/>
    <x v="0"/>
    <x v="0"/>
    <x v="4"/>
    <x v="0"/>
    <x v="0"/>
    <x v="0"/>
    <x v="4"/>
    <n v="0"/>
    <n v="0"/>
    <n v="5.2519999999999998"/>
    <n v="5.2519999999999998"/>
    <n v="5.2519999999999998"/>
    <n v="5.2519999999999998"/>
    <n v="67"/>
    <s v="CATIVO"/>
    <n v="0"/>
    <n v="0"/>
    <n v="40"/>
    <n v="80"/>
    <n v="0"/>
    <n v="375.35"/>
    <n v="185.74"/>
    <m/>
    <n v="438.5565402636737"/>
    <n v="166.7634981586946"/>
    <n v="0"/>
    <n v="0"/>
    <n v="0"/>
    <n v="-1.4927081792848184E-13"/>
    <x v="1"/>
  </r>
  <r>
    <s v="Regular"/>
    <x v="0"/>
    <x v="0"/>
    <x v="0"/>
    <x v="4"/>
    <x v="0"/>
    <x v="0"/>
    <x v="0"/>
    <x v="5"/>
    <n v="0"/>
    <n v="0"/>
    <n v="7.7409999999999997"/>
    <n v="7.7409999999999997"/>
    <n v="7.7409999999999997"/>
    <n v="7.7409999999999997"/>
    <n v="84"/>
    <s v="CATIVO"/>
    <n v="0"/>
    <n v="0"/>
    <n v="40"/>
    <n v="80"/>
    <n v="0"/>
    <n v="375.35"/>
    <n v="185.74"/>
    <m/>
    <n v="438.5565402636737"/>
    <n v="166.7634981586946"/>
    <n v="0"/>
    <n v="0"/>
    <n v="0"/>
    <n v="-2.2001245270075741E-13"/>
    <x v="1"/>
  </r>
  <r>
    <s v="Regular"/>
    <x v="0"/>
    <x v="0"/>
    <x v="0"/>
    <x v="4"/>
    <x v="0"/>
    <x v="0"/>
    <x v="0"/>
    <x v="6"/>
    <n v="0"/>
    <n v="0"/>
    <n v="8.2520000000000007"/>
    <n v="8.2520000000000007"/>
    <n v="8.2520000000000007"/>
    <n v="8.2520000000000007"/>
    <n v="83"/>
    <s v="CATIVO"/>
    <n v="0"/>
    <n v="0"/>
    <n v="40"/>
    <n v="80"/>
    <n v="0"/>
    <n v="375.35"/>
    <n v="185.74"/>
    <m/>
    <n v="438.5565402636737"/>
    <n v="166.7634981586946"/>
    <n v="0"/>
    <n v="0"/>
    <n v="0"/>
    <n v="-2.3453594621969389E-13"/>
    <x v="1"/>
  </r>
  <r>
    <s v="Regular"/>
    <x v="0"/>
    <x v="0"/>
    <x v="0"/>
    <x v="4"/>
    <x v="0"/>
    <x v="0"/>
    <x v="0"/>
    <x v="7"/>
    <n v="0"/>
    <n v="0"/>
    <n v="11.680999999999999"/>
    <n v="11.680999999999999"/>
    <n v="11.680999999999999"/>
    <n v="11.680999999999999"/>
    <n v="122"/>
    <s v="CATIVO"/>
    <n v="0"/>
    <n v="0"/>
    <n v="40"/>
    <n v="80"/>
    <n v="0"/>
    <n v="375.35"/>
    <n v="185.74"/>
    <m/>
    <n v="438.5565402636737"/>
    <n v="166.7634981586946"/>
    <n v="0"/>
    <n v="0"/>
    <n v="0"/>
    <n v="-3.3199398785654919E-13"/>
    <x v="1"/>
  </r>
  <r>
    <s v="Regular"/>
    <x v="0"/>
    <x v="0"/>
    <x v="0"/>
    <x v="4"/>
    <x v="0"/>
    <x v="0"/>
    <x v="0"/>
    <x v="8"/>
    <n v="0"/>
    <n v="0"/>
    <n v="7.53"/>
    <n v="7.53"/>
    <n v="7.53"/>
    <n v="7.53"/>
    <n v="72"/>
    <s v="CATIVO"/>
    <n v="0"/>
    <n v="0"/>
    <n v="40"/>
    <n v="80"/>
    <n v="0"/>
    <n v="375.35"/>
    <n v="185.74"/>
    <m/>
    <n v="438.5565402636737"/>
    <n v="166.7634981586946"/>
    <n v="0"/>
    <n v="0"/>
    <n v="0"/>
    <n v="-2.1401547201094218E-13"/>
    <x v="1"/>
  </r>
  <r>
    <s v="Regular"/>
    <x v="0"/>
    <x v="0"/>
    <x v="0"/>
    <x v="4"/>
    <x v="0"/>
    <x v="0"/>
    <x v="0"/>
    <x v="9"/>
    <n v="0"/>
    <n v="0"/>
    <n v="8.8190000000000008"/>
    <n v="8.8190000000000008"/>
    <n v="8.8190000000000008"/>
    <n v="8.8190000000000008"/>
    <n v="77"/>
    <s v="CATIVO"/>
    <n v="0"/>
    <n v="0"/>
    <n v="40"/>
    <n v="80"/>
    <n v="0"/>
    <n v="375.35"/>
    <n v="185.74"/>
    <m/>
    <n v="438.5565402636737"/>
    <n v="166.7634981586946"/>
    <n v="0"/>
    <n v="0"/>
    <n v="0"/>
    <n v="-2.5065105546673297E-13"/>
    <x v="1"/>
  </r>
  <r>
    <s v="Regular"/>
    <x v="0"/>
    <x v="0"/>
    <x v="0"/>
    <x v="4"/>
    <x v="0"/>
    <x v="0"/>
    <x v="0"/>
    <x v="10"/>
    <n v="0"/>
    <n v="0"/>
    <n v="5.0469999999999997"/>
    <n v="5.0469999999999997"/>
    <n v="5.0469999999999997"/>
    <n v="5.0469999999999997"/>
    <n v="53"/>
    <s v="CATIVO"/>
    <n v="0"/>
    <n v="0"/>
    <n v="40"/>
    <n v="80"/>
    <n v="0"/>
    <n v="375.35"/>
    <n v="185.74"/>
    <m/>
    <n v="438.5565402636737"/>
    <n v="166.7634981586946"/>
    <n v="0"/>
    <n v="0"/>
    <n v="0"/>
    <n v="-1.4344436749524902E-13"/>
    <x v="1"/>
  </r>
  <r>
    <s v="Regular"/>
    <x v="0"/>
    <x v="0"/>
    <x v="0"/>
    <x v="4"/>
    <x v="0"/>
    <x v="0"/>
    <x v="0"/>
    <x v="11"/>
    <n v="0"/>
    <n v="0"/>
    <n v="6.5069999999999997"/>
    <n v="6.5069999999999997"/>
    <n v="6.5069999999999997"/>
    <n v="6.5069999999999997"/>
    <n v="65"/>
    <s v="CATIVO"/>
    <n v="0"/>
    <n v="0"/>
    <n v="40"/>
    <n v="80"/>
    <n v="0"/>
    <n v="375.35"/>
    <n v="185.74"/>
    <m/>
    <n v="438.5565402636737"/>
    <n v="166.7634981586946"/>
    <n v="0"/>
    <n v="0"/>
    <n v="0"/>
    <n v="-1.8494006326363887E-13"/>
    <x v="1"/>
  </r>
  <r>
    <s v="Regular"/>
    <x v="1"/>
    <x v="0"/>
    <x v="1"/>
    <x v="5"/>
    <x v="0"/>
    <x v="0"/>
    <x v="0"/>
    <x v="0"/>
    <n v="0"/>
    <n v="0"/>
    <n v="1415.9390000000001"/>
    <n v="1415.9390000000001"/>
    <n v="1415.9390000000001"/>
    <n v="1415.9390000000001"/>
    <n v="5752"/>
    <s v="CATIVO"/>
    <n v="0"/>
    <n v="0"/>
    <n v="52"/>
    <n v="9"/>
    <n v="0"/>
    <n v="389.81"/>
    <n v="163.44999999999999"/>
    <m/>
    <n v="512.16294496076114"/>
    <n v="156.75768826917292"/>
    <n v="0"/>
    <n v="106818.43816000008"/>
    <n v="0"/>
    <n v="60456.434840103888"/>
    <x v="2"/>
  </r>
  <r>
    <s v="Refaturamento - Regular"/>
    <x v="1"/>
    <x v="0"/>
    <x v="1"/>
    <x v="5"/>
    <x v="0"/>
    <x v="0"/>
    <x v="0"/>
    <x v="0"/>
    <n v="0"/>
    <n v="0"/>
    <n v="0.70099999999999996"/>
    <n v="0.70099999999999996"/>
    <n v="0.70099999999999996"/>
    <n v="0.70099999999999996"/>
    <n v="0"/>
    <s v="CATIVO"/>
    <n v="0"/>
    <n v="0"/>
    <n v="52"/>
    <n v="9"/>
    <n v="0"/>
    <n v="389.81"/>
    <n v="163.44999999999999"/>
    <m/>
    <n v="512.16294496076114"/>
    <n v="156.75768826917292"/>
    <n v="0"/>
    <n v="52.883440000000036"/>
    <n v="0"/>
    <n v="29.930640248564963"/>
    <x v="2"/>
  </r>
  <r>
    <s v="Sistema de Compensação"/>
    <x v="1"/>
    <x v="0"/>
    <x v="1"/>
    <x v="5"/>
    <x v="0"/>
    <x v="0"/>
    <x v="0"/>
    <x v="0"/>
    <n v="0"/>
    <n v="0"/>
    <n v="16.902999999999999"/>
    <n v="16.902999999999999"/>
    <n v="16.902999999999999"/>
    <n v="16.902999999999999"/>
    <n v="85"/>
    <s v="CATIVO"/>
    <n v="0"/>
    <n v="0"/>
    <n v="52"/>
    <n v="9"/>
    <n v="0"/>
    <n v="389.81"/>
    <n v="163.44999999999999"/>
    <m/>
    <n v="512.16294496076114"/>
    <n v="156.75768826917292"/>
    <n v="0"/>
    <n v="1275.1623200000008"/>
    <n v="0"/>
    <n v="721.7084338395058"/>
    <x v="2"/>
  </r>
  <r>
    <s v="Sistema de Compensação"/>
    <x v="1"/>
    <x v="0"/>
    <x v="1"/>
    <x v="5"/>
    <x v="0"/>
    <x v="0"/>
    <x v="0"/>
    <x v="0"/>
    <n v="0"/>
    <n v="0"/>
    <n v="-7.5999999999999998E-2"/>
    <n v="-7.5999999999999998E-2"/>
    <n v="-7.5999999999999998E-2"/>
    <n v="-7.5999999999999998E-2"/>
    <n v="1"/>
    <s v="CATIVO"/>
    <n v="0"/>
    <n v="0"/>
    <n v="52"/>
    <n v="9"/>
    <n v="0"/>
    <n v="389.81"/>
    <n v="163.44999999999999"/>
    <m/>
    <n v="512.16294496076114"/>
    <n v="156.75768826917292"/>
    <n v="0"/>
    <n v="-5.7334400000000043"/>
    <n v="0"/>
    <n v="-3.2449766888601101"/>
    <x v="2"/>
  </r>
  <r>
    <s v="Regular"/>
    <x v="1"/>
    <x v="0"/>
    <x v="1"/>
    <x v="5"/>
    <x v="0"/>
    <x v="0"/>
    <x v="0"/>
    <x v="1"/>
    <n v="0"/>
    <n v="0"/>
    <n v="1479.7449999999999"/>
    <n v="1479.7449999999999"/>
    <n v="1479.7449999999999"/>
    <n v="1479.7449999999999"/>
    <n v="5740"/>
    <s v="CATIVO"/>
    <n v="0"/>
    <n v="0"/>
    <n v="52"/>
    <n v="9"/>
    <n v="0"/>
    <n v="389.81"/>
    <n v="163.44999999999999"/>
    <m/>
    <n v="512.16294496076114"/>
    <n v="156.75768826917292"/>
    <n v="0"/>
    <n v="111631.96280000007"/>
    <n v="0"/>
    <n v="63180.76355864873"/>
    <x v="2"/>
  </r>
  <r>
    <s v="Refaturamento - Regular"/>
    <x v="1"/>
    <x v="0"/>
    <x v="1"/>
    <x v="5"/>
    <x v="0"/>
    <x v="0"/>
    <x v="0"/>
    <x v="1"/>
    <n v="0"/>
    <n v="0"/>
    <n v="-4.7249999999999996"/>
    <n v="-4.7249999999999996"/>
    <n v="-4.7249999999999996"/>
    <n v="-4.7249999999999996"/>
    <n v="0"/>
    <s v="CATIVO"/>
    <n v="0"/>
    <n v="0"/>
    <n v="52"/>
    <n v="9"/>
    <n v="0"/>
    <n v="389.81"/>
    <n v="163.44999999999999"/>
    <m/>
    <n v="512.16294496076114"/>
    <n v="156.75768826917292"/>
    <n v="0"/>
    <n v="-356.45400000000024"/>
    <n v="0"/>
    <n v="-201.74361651136869"/>
    <x v="2"/>
  </r>
  <r>
    <s v="Sistema de Compensação"/>
    <x v="1"/>
    <x v="0"/>
    <x v="1"/>
    <x v="5"/>
    <x v="0"/>
    <x v="0"/>
    <x v="0"/>
    <x v="1"/>
    <n v="0"/>
    <n v="0"/>
    <n v="20.302"/>
    <n v="20.302"/>
    <n v="20.302"/>
    <n v="20.302"/>
    <n v="89"/>
    <s v="CATIVO"/>
    <n v="0"/>
    <n v="0"/>
    <n v="52"/>
    <n v="9"/>
    <n v="0"/>
    <n v="389.81"/>
    <n v="163.44999999999999"/>
    <m/>
    <n v="512.16294496076114"/>
    <n v="156.75768826917292"/>
    <n v="0"/>
    <n v="1531.5828800000011"/>
    <n v="0"/>
    <n v="866.83574654260462"/>
    <x v="2"/>
  </r>
  <r>
    <s v="Regular"/>
    <x v="1"/>
    <x v="0"/>
    <x v="1"/>
    <x v="5"/>
    <x v="0"/>
    <x v="0"/>
    <x v="0"/>
    <x v="2"/>
    <n v="0"/>
    <n v="0"/>
    <n v="1591.5719999999999"/>
    <n v="1591.5719999999999"/>
    <n v="1591.5719999999999"/>
    <n v="1591.5719999999999"/>
    <n v="5726"/>
    <s v="CATIVO"/>
    <n v="0"/>
    <n v="0"/>
    <n v="52"/>
    <n v="9"/>
    <n v="0"/>
    <n v="389.81"/>
    <n v="163.44999999999999"/>
    <m/>
    <n v="512.16294496076114"/>
    <n v="156.75768826917292"/>
    <n v="0"/>
    <n v="120068.19168000008"/>
    <n v="0"/>
    <n v="67955.447876874518"/>
    <x v="2"/>
  </r>
  <r>
    <s v="Refaturamento - Regular"/>
    <x v="1"/>
    <x v="0"/>
    <x v="1"/>
    <x v="5"/>
    <x v="0"/>
    <x v="0"/>
    <x v="0"/>
    <x v="2"/>
    <n v="0"/>
    <n v="0"/>
    <n v="-4.9260000000000002"/>
    <n v="-4.9260000000000002"/>
    <n v="-4.9260000000000002"/>
    <n v="-4.9260000000000002"/>
    <n v="0"/>
    <s v="CATIVO"/>
    <n v="0"/>
    <n v="0"/>
    <n v="52"/>
    <n v="9"/>
    <n v="0"/>
    <n v="389.81"/>
    <n v="163.44999999999999"/>
    <m/>
    <n v="512.16294496076114"/>
    <n v="156.75768826917292"/>
    <n v="0"/>
    <n v="-371.61744000000027"/>
    <n v="0"/>
    <n v="-210.32572591216979"/>
    <x v="2"/>
  </r>
  <r>
    <s v="Sistema de Compensação"/>
    <x v="1"/>
    <x v="0"/>
    <x v="1"/>
    <x v="5"/>
    <x v="0"/>
    <x v="0"/>
    <x v="0"/>
    <x v="2"/>
    <n v="0"/>
    <n v="0"/>
    <n v="19.436"/>
    <n v="19.436"/>
    <n v="19.436"/>
    <n v="19.436"/>
    <n v="105"/>
    <s v="CATIVO"/>
    <n v="0"/>
    <n v="0"/>
    <n v="52"/>
    <n v="9"/>
    <n v="0"/>
    <n v="389.81"/>
    <n v="163.44999999999999"/>
    <m/>
    <n v="512.16294496076114"/>
    <n v="156.75768826917292"/>
    <n v="0"/>
    <n v="1466.251840000001"/>
    <n v="0"/>
    <n v="829.86009111427768"/>
    <x v="2"/>
  </r>
  <r>
    <s v="Sistema de Compensação"/>
    <x v="1"/>
    <x v="0"/>
    <x v="1"/>
    <x v="5"/>
    <x v="0"/>
    <x v="0"/>
    <x v="0"/>
    <x v="2"/>
    <n v="0"/>
    <n v="0"/>
    <n v="-1.0269999999999999"/>
    <n v="-1.0269999999999999"/>
    <n v="-1.0269999999999999"/>
    <n v="-1.0269999999999999"/>
    <n v="2"/>
    <s v="CATIVO"/>
    <n v="0"/>
    <n v="0"/>
    <n v="52"/>
    <n v="9"/>
    <n v="0"/>
    <n v="389.81"/>
    <n v="163.44999999999999"/>
    <m/>
    <n v="512.16294496076114"/>
    <n v="156.75768826917292"/>
    <n v="0"/>
    <n v="-77.476880000000051"/>
    <n v="0"/>
    <n v="-43.84988236130701"/>
    <x v="2"/>
  </r>
  <r>
    <s v="Regular"/>
    <x v="1"/>
    <x v="0"/>
    <x v="1"/>
    <x v="5"/>
    <x v="0"/>
    <x v="0"/>
    <x v="0"/>
    <x v="3"/>
    <n v="0"/>
    <n v="0"/>
    <n v="1747.2080000000001"/>
    <n v="1747.2080000000001"/>
    <n v="1747.2080000000001"/>
    <n v="1747.2080000000001"/>
    <n v="5715"/>
    <s v="CATIVO"/>
    <n v="0"/>
    <n v="0"/>
    <n v="52"/>
    <n v="9"/>
    <n v="0"/>
    <n v="389.81"/>
    <n v="163.44999999999999"/>
    <m/>
    <n v="512.16294496076114"/>
    <n v="156.75768826917292"/>
    <n v="0"/>
    <n v="131809.3715200001"/>
    <n v="0"/>
    <n v="74600.647770919677"/>
    <x v="2"/>
  </r>
  <r>
    <s v="Refaturamento - Regular"/>
    <x v="1"/>
    <x v="0"/>
    <x v="1"/>
    <x v="5"/>
    <x v="0"/>
    <x v="0"/>
    <x v="0"/>
    <x v="3"/>
    <n v="0"/>
    <n v="0"/>
    <n v="0.81899999999999995"/>
    <n v="0.81899999999999995"/>
    <n v="0.81899999999999995"/>
    <n v="0.81899999999999995"/>
    <n v="0"/>
    <s v="CATIVO"/>
    <n v="0"/>
    <n v="0"/>
    <n v="52"/>
    <n v="9"/>
    <n v="0"/>
    <n v="389.81"/>
    <n v="163.44999999999999"/>
    <m/>
    <n v="512.16294496076114"/>
    <n v="156.75768826917292"/>
    <n v="0"/>
    <n v="61.78536000000004"/>
    <n v="0"/>
    <n v="34.968893528637238"/>
    <x v="2"/>
  </r>
  <r>
    <s v="Sistema de Compensação"/>
    <x v="1"/>
    <x v="0"/>
    <x v="1"/>
    <x v="5"/>
    <x v="0"/>
    <x v="0"/>
    <x v="0"/>
    <x v="3"/>
    <n v="0"/>
    <n v="0"/>
    <n v="20.591999999999999"/>
    <n v="20.591999999999999"/>
    <n v="20.591999999999999"/>
    <n v="20.591999999999999"/>
    <n v="113"/>
    <s v="CATIVO"/>
    <n v="0"/>
    <n v="0"/>
    <n v="52"/>
    <n v="9"/>
    <n v="0"/>
    <n v="389.81"/>
    <n v="163.44999999999999"/>
    <m/>
    <n v="512.16294496076114"/>
    <n v="156.75768826917292"/>
    <n v="0"/>
    <n v="1553.4604800000011"/>
    <n v="0"/>
    <n v="879.21789443430771"/>
    <x v="2"/>
  </r>
  <r>
    <s v="Regular"/>
    <x v="1"/>
    <x v="0"/>
    <x v="1"/>
    <x v="5"/>
    <x v="0"/>
    <x v="0"/>
    <x v="0"/>
    <x v="4"/>
    <n v="0"/>
    <n v="0"/>
    <n v="2243.922"/>
    <n v="2243.922"/>
    <n v="2243.922"/>
    <n v="2243.922"/>
    <n v="5706"/>
    <s v="CATIVO"/>
    <n v="0"/>
    <n v="0"/>
    <n v="52"/>
    <n v="9"/>
    <n v="0"/>
    <n v="389.81"/>
    <n v="163.44999999999999"/>
    <m/>
    <n v="512.16294496076114"/>
    <n v="156.75768826917292"/>
    <n v="0"/>
    <n v="169281.47568000012"/>
    <n v="0"/>
    <n v="95808.876073952051"/>
    <x v="2"/>
  </r>
  <r>
    <s v="Refaturamento - Regular"/>
    <x v="1"/>
    <x v="0"/>
    <x v="1"/>
    <x v="5"/>
    <x v="0"/>
    <x v="0"/>
    <x v="0"/>
    <x v="4"/>
    <n v="0"/>
    <n v="0"/>
    <n v="-2.4689999999999999"/>
    <n v="-2.4689999999999999"/>
    <n v="-2.4689999999999999"/>
    <n v="-2.4689999999999999"/>
    <n v="0"/>
    <s v="CATIVO"/>
    <n v="0"/>
    <n v="0"/>
    <n v="52"/>
    <n v="9"/>
    <n v="0"/>
    <n v="389.81"/>
    <n v="163.44999999999999"/>
    <m/>
    <n v="512.16294496076114"/>
    <n v="156.75768826917292"/>
    <n v="0"/>
    <n v="-186.26136000000014"/>
    <n v="0"/>
    <n v="-105.41904532625804"/>
    <x v="2"/>
  </r>
  <r>
    <s v="Sistema de Compensação"/>
    <x v="1"/>
    <x v="0"/>
    <x v="1"/>
    <x v="5"/>
    <x v="0"/>
    <x v="0"/>
    <x v="0"/>
    <x v="4"/>
    <n v="0"/>
    <n v="0"/>
    <n v="28.690999999999999"/>
    <n v="28.690999999999999"/>
    <n v="28.690999999999999"/>
    <n v="28.690999999999999"/>
    <n v="120"/>
    <s v="CATIVO"/>
    <n v="0"/>
    <n v="0"/>
    <n v="52"/>
    <n v="9"/>
    <n v="0"/>
    <n v="389.81"/>
    <n v="163.44999999999999"/>
    <m/>
    <n v="512.16294496076114"/>
    <n v="156.75768826917292"/>
    <n v="0"/>
    <n v="2164.4490400000013"/>
    <n v="0"/>
    <n v="1225.021397106387"/>
    <x v="2"/>
  </r>
  <r>
    <s v="Regular"/>
    <x v="1"/>
    <x v="0"/>
    <x v="1"/>
    <x v="5"/>
    <x v="0"/>
    <x v="0"/>
    <x v="0"/>
    <x v="5"/>
    <n v="0"/>
    <n v="0"/>
    <n v="2134.567"/>
    <n v="2134.567"/>
    <n v="2134.567"/>
    <n v="2134.567"/>
    <n v="5678"/>
    <s v="CATIVO"/>
    <n v="0"/>
    <n v="0"/>
    <n v="52"/>
    <n v="9"/>
    <n v="0"/>
    <n v="389.81"/>
    <n v="163.44999999999999"/>
    <m/>
    <n v="512.16294496076114"/>
    <n v="156.75768826917292"/>
    <n v="0"/>
    <n v="161031.73448000013"/>
    <n v="0"/>
    <n v="91139.738892237612"/>
    <x v="2"/>
  </r>
  <r>
    <s v="Refaturamento - Regular"/>
    <x v="1"/>
    <x v="0"/>
    <x v="1"/>
    <x v="5"/>
    <x v="0"/>
    <x v="0"/>
    <x v="0"/>
    <x v="5"/>
    <n v="0"/>
    <n v="0"/>
    <n v="-2.1890000000000001"/>
    <n v="-2.1890000000000001"/>
    <n v="-2.1890000000000001"/>
    <n v="-2.1890000000000001"/>
    <n v="0"/>
    <s v="CATIVO"/>
    <n v="0"/>
    <n v="0"/>
    <n v="52"/>
    <n v="9"/>
    <n v="0"/>
    <n v="389.81"/>
    <n v="163.44999999999999"/>
    <m/>
    <n v="512.16294496076114"/>
    <n v="156.75768826917292"/>
    <n v="0"/>
    <n v="-165.13816000000011"/>
    <n v="0"/>
    <n v="-93.463868051510275"/>
    <x v="2"/>
  </r>
  <r>
    <s v="Sistema de Compensação"/>
    <x v="1"/>
    <x v="0"/>
    <x v="1"/>
    <x v="5"/>
    <x v="0"/>
    <x v="0"/>
    <x v="0"/>
    <x v="5"/>
    <n v="0"/>
    <n v="0"/>
    <n v="45.225999999999999"/>
    <n v="45.225999999999999"/>
    <n v="45.225999999999999"/>
    <n v="45.225999999999999"/>
    <n v="135"/>
    <s v="CATIVO"/>
    <n v="0"/>
    <n v="0"/>
    <n v="52"/>
    <n v="9"/>
    <n v="0"/>
    <n v="389.81"/>
    <n v="163.44999999999999"/>
    <m/>
    <n v="512.16294496076114"/>
    <n v="156.75768826917292"/>
    <n v="0"/>
    <n v="3411.8494400000022"/>
    <n v="0"/>
    <n v="1931.0173122419387"/>
    <x v="2"/>
  </r>
  <r>
    <s v="Sistema de Compensação"/>
    <x v="1"/>
    <x v="0"/>
    <x v="1"/>
    <x v="5"/>
    <x v="0"/>
    <x v="0"/>
    <x v="0"/>
    <x v="5"/>
    <n v="0"/>
    <n v="0"/>
    <n v="-2.0179999999999998"/>
    <n v="-2.0179999999999998"/>
    <n v="-2.0179999999999998"/>
    <n v="-2.0179999999999998"/>
    <n v="2"/>
    <s v="CATIVO"/>
    <n v="0"/>
    <n v="0"/>
    <n v="52"/>
    <n v="9"/>
    <n v="0"/>
    <n v="389.81"/>
    <n v="163.44999999999999"/>
    <m/>
    <n v="512.16294496076114"/>
    <n v="156.75768826917292"/>
    <n v="0"/>
    <n v="-152.23792000000009"/>
    <n v="0"/>
    <n v="-86.162670501575022"/>
    <x v="2"/>
  </r>
  <r>
    <s v="Regular"/>
    <x v="1"/>
    <x v="0"/>
    <x v="1"/>
    <x v="5"/>
    <x v="0"/>
    <x v="0"/>
    <x v="0"/>
    <x v="6"/>
    <n v="0"/>
    <n v="0"/>
    <n v="1703.5640000000001"/>
    <n v="1703.5640000000001"/>
    <n v="1703.5640000000001"/>
    <n v="1703.5640000000001"/>
    <n v="5664"/>
    <s v="CATIVO"/>
    <n v="0"/>
    <n v="0"/>
    <n v="52"/>
    <n v="9"/>
    <n v="0"/>
    <n v="389.81"/>
    <n v="163.44999999999999"/>
    <m/>
    <n v="512.16294496076114"/>
    <n v="156.75768826917292"/>
    <n v="0"/>
    <n v="128516.8681600001"/>
    <n v="0"/>
    <n v="72737.177210280061"/>
    <x v="2"/>
  </r>
  <r>
    <s v="Refaturamento - Regular"/>
    <x v="1"/>
    <x v="0"/>
    <x v="1"/>
    <x v="5"/>
    <x v="0"/>
    <x v="0"/>
    <x v="0"/>
    <x v="6"/>
    <n v="0"/>
    <n v="0"/>
    <n v="-14.714"/>
    <n v="-14.714"/>
    <n v="-14.714"/>
    <n v="-14.714"/>
    <n v="0"/>
    <s v="CATIVO"/>
    <n v="0"/>
    <n v="0"/>
    <n v="52"/>
    <n v="9"/>
    <n v="0"/>
    <n v="389.81"/>
    <n v="163.44999999999999"/>
    <m/>
    <n v="512.16294496076114"/>
    <n v="156.75768826917292"/>
    <n v="0"/>
    <n v="-1110.0241600000008"/>
    <n v="0"/>
    <n v="-628.2445657879955"/>
    <x v="2"/>
  </r>
  <r>
    <s v="Sistema de Compensação"/>
    <x v="1"/>
    <x v="0"/>
    <x v="1"/>
    <x v="5"/>
    <x v="0"/>
    <x v="0"/>
    <x v="0"/>
    <x v="6"/>
    <n v="0"/>
    <n v="0"/>
    <n v="29.56"/>
    <n v="29.56"/>
    <n v="29.56"/>
    <n v="29.56"/>
    <n v="140"/>
    <s v="CATIVO"/>
    <n v="0"/>
    <n v="0"/>
    <n v="52"/>
    <n v="9"/>
    <n v="0"/>
    <n v="389.81"/>
    <n v="163.44999999999999"/>
    <m/>
    <n v="512.16294496076114"/>
    <n v="156.75768826917292"/>
    <n v="0"/>
    <n v="2230.0064000000016"/>
    <n v="0"/>
    <n v="1262.1251437198007"/>
    <x v="2"/>
  </r>
  <r>
    <s v="Regular"/>
    <x v="1"/>
    <x v="0"/>
    <x v="1"/>
    <x v="5"/>
    <x v="0"/>
    <x v="0"/>
    <x v="0"/>
    <x v="7"/>
    <n v="0"/>
    <n v="0"/>
    <n v="1461.453"/>
    <n v="1461.453"/>
    <n v="1461.453"/>
    <n v="1461.453"/>
    <n v="5631"/>
    <s v="CATIVO"/>
    <n v="0"/>
    <n v="0"/>
    <n v="52"/>
    <n v="9"/>
    <n v="0"/>
    <n v="389.81"/>
    <n v="163.44999999999999"/>
    <m/>
    <n v="512.16294496076114"/>
    <n v="156.75768826917292"/>
    <n v="0"/>
    <n v="110252.01432000007"/>
    <n v="0"/>
    <n v="62399.748906114139"/>
    <x v="2"/>
  </r>
  <r>
    <s v="Refaturamento - Regular"/>
    <x v="1"/>
    <x v="0"/>
    <x v="1"/>
    <x v="5"/>
    <x v="0"/>
    <x v="0"/>
    <x v="0"/>
    <x v="7"/>
    <n v="0"/>
    <n v="0"/>
    <n v="-0.51600000000000001"/>
    <n v="-0.51600000000000001"/>
    <n v="-0.51600000000000001"/>
    <n v="-0.51600000000000001"/>
    <n v="0"/>
    <s v="CATIVO"/>
    <n v="0"/>
    <n v="0"/>
    <n v="52"/>
    <n v="9"/>
    <n v="0"/>
    <n v="389.81"/>
    <n v="163.44999999999999"/>
    <m/>
    <n v="512.16294496076114"/>
    <n v="156.75768826917292"/>
    <n v="0"/>
    <n v="-38.927040000000027"/>
    <n v="0"/>
    <n v="-22.031683834892327"/>
    <x v="2"/>
  </r>
  <r>
    <s v="Sistema de Compensação"/>
    <x v="1"/>
    <x v="0"/>
    <x v="1"/>
    <x v="5"/>
    <x v="0"/>
    <x v="0"/>
    <x v="0"/>
    <x v="7"/>
    <n v="0"/>
    <n v="0"/>
    <n v="30.376999999999999"/>
    <n v="30.376999999999999"/>
    <n v="30.376999999999999"/>
    <n v="30.376999999999999"/>
    <n v="160"/>
    <s v="CATIVO"/>
    <n v="0"/>
    <n v="0"/>
    <n v="52"/>
    <n v="9"/>
    <n v="0"/>
    <n v="389.81"/>
    <n v="163.44999999999999"/>
    <m/>
    <n v="512.16294496076114"/>
    <n v="156.75768826917292"/>
    <n v="0"/>
    <n v="2291.6408800000017"/>
    <n v="0"/>
    <n v="1297.0086431250468"/>
    <x v="2"/>
  </r>
  <r>
    <s v="Sistema de Compensação"/>
    <x v="1"/>
    <x v="0"/>
    <x v="1"/>
    <x v="5"/>
    <x v="0"/>
    <x v="0"/>
    <x v="0"/>
    <x v="7"/>
    <n v="0"/>
    <n v="0"/>
    <n v="12.362"/>
    <n v="12.362"/>
    <n v="12.362"/>
    <n v="12.362"/>
    <n v="1"/>
    <s v="CATIVO"/>
    <n v="0"/>
    <n v="0"/>
    <n v="52"/>
    <n v="9"/>
    <n v="0"/>
    <n v="389.81"/>
    <n v="163.44999999999999"/>
    <m/>
    <n v="512.16294496076114"/>
    <n v="156.75768826917292"/>
    <n v="0"/>
    <n v="932.58928000000071"/>
    <n v="0"/>
    <n v="527.82107668011429"/>
    <x v="2"/>
  </r>
  <r>
    <s v="Regular"/>
    <x v="1"/>
    <x v="0"/>
    <x v="1"/>
    <x v="5"/>
    <x v="0"/>
    <x v="0"/>
    <x v="0"/>
    <x v="8"/>
    <n v="0"/>
    <n v="0"/>
    <n v="1347.9069999999999"/>
    <n v="1347.9069999999999"/>
    <n v="1347.9069999999999"/>
    <n v="1347.9069999999999"/>
    <n v="5614"/>
    <s v="CATIVO"/>
    <n v="0"/>
    <n v="0"/>
    <n v="52"/>
    <n v="9"/>
    <n v="0"/>
    <n v="389.81"/>
    <n v="163.44999999999999"/>
    <m/>
    <n v="512.16294496076114"/>
    <n v="156.75768826917292"/>
    <n v="0"/>
    <n v="101686.10408000006"/>
    <n v="0"/>
    <n v="57551.668338833741"/>
    <x v="2"/>
  </r>
  <r>
    <s v="Refaturamento - Regular"/>
    <x v="1"/>
    <x v="0"/>
    <x v="1"/>
    <x v="5"/>
    <x v="0"/>
    <x v="0"/>
    <x v="0"/>
    <x v="8"/>
    <n v="0"/>
    <n v="0"/>
    <n v="-1.5860000000000001"/>
    <n v="-1.5860000000000001"/>
    <n v="-1.5860000000000001"/>
    <n v="-1.5860000000000001"/>
    <n v="0"/>
    <s v="CATIVO"/>
    <n v="0"/>
    <n v="0"/>
    <n v="52"/>
    <n v="9"/>
    <n v="0"/>
    <n v="389.81"/>
    <n v="163.44999999999999"/>
    <m/>
    <n v="512.16294496076114"/>
    <n v="156.75768826917292"/>
    <n v="0"/>
    <n v="-119.64784000000009"/>
    <n v="0"/>
    <n v="-67.717539849107041"/>
    <x v="2"/>
  </r>
  <r>
    <s v="Sistema de Compensação"/>
    <x v="1"/>
    <x v="0"/>
    <x v="1"/>
    <x v="5"/>
    <x v="0"/>
    <x v="0"/>
    <x v="0"/>
    <x v="8"/>
    <n v="0"/>
    <n v="0"/>
    <n v="46.774999999999999"/>
    <n v="46.774999999999999"/>
    <n v="46.774999999999999"/>
    <n v="46.774999999999999"/>
    <n v="170"/>
    <s v="CATIVO"/>
    <n v="0"/>
    <n v="0"/>
    <n v="52"/>
    <n v="9"/>
    <n v="0"/>
    <n v="389.81"/>
    <n v="163.44999999999999"/>
    <m/>
    <n v="512.16294496076114"/>
    <n v="156.75768826917292"/>
    <n v="0"/>
    <n v="3528.7060000000024"/>
    <n v="0"/>
    <n v="1997.1550608083112"/>
    <x v="2"/>
  </r>
  <r>
    <s v="Sistema de Compensação"/>
    <x v="1"/>
    <x v="0"/>
    <x v="1"/>
    <x v="5"/>
    <x v="0"/>
    <x v="0"/>
    <x v="0"/>
    <x v="8"/>
    <n v="0"/>
    <n v="0"/>
    <n v="15.874000000000001"/>
    <n v="15.874000000000001"/>
    <n v="15.874000000000001"/>
    <n v="15.874000000000001"/>
    <n v="7"/>
    <s v="CATIVO"/>
    <n v="0"/>
    <n v="0"/>
    <n v="52"/>
    <n v="9"/>
    <n v="0"/>
    <n v="389.81"/>
    <n v="163.44999999999999"/>
    <m/>
    <n v="512.16294496076114"/>
    <n v="156.75768826917292"/>
    <n v="0"/>
    <n v="1197.534560000001"/>
    <n v="0"/>
    <n v="677.77315735480772"/>
    <x v="2"/>
  </r>
  <r>
    <s v="Regular"/>
    <x v="1"/>
    <x v="0"/>
    <x v="1"/>
    <x v="5"/>
    <x v="0"/>
    <x v="0"/>
    <x v="0"/>
    <x v="9"/>
    <n v="0"/>
    <n v="0"/>
    <n v="1366.492"/>
    <n v="1366.492"/>
    <n v="1366.492"/>
    <n v="1366.492"/>
    <n v="5593"/>
    <s v="CATIVO"/>
    <n v="0"/>
    <n v="0"/>
    <n v="52"/>
    <n v="9"/>
    <n v="0"/>
    <n v="389.81"/>
    <n v="163.44999999999999"/>
    <m/>
    <n v="512.16294496076114"/>
    <n v="156.75768826917292"/>
    <n v="0"/>
    <n v="103088.15648000008"/>
    <n v="0"/>
    <n v="58345.193230445126"/>
    <x v="2"/>
  </r>
  <r>
    <s v="Refaturamento - Regular"/>
    <x v="1"/>
    <x v="0"/>
    <x v="1"/>
    <x v="5"/>
    <x v="0"/>
    <x v="0"/>
    <x v="0"/>
    <x v="9"/>
    <n v="0"/>
    <n v="0"/>
    <n v="-0.187"/>
    <n v="-0.187"/>
    <n v="-0.187"/>
    <n v="-0.187"/>
    <n v="0"/>
    <s v="CATIVO"/>
    <n v="0"/>
    <n v="0"/>
    <n v="52"/>
    <n v="9"/>
    <n v="0"/>
    <n v="389.81"/>
    <n v="163.44999999999999"/>
    <m/>
    <n v="512.16294496076114"/>
    <n v="156.75768826917292"/>
    <n v="0"/>
    <n v="-14.10728000000001"/>
    <n v="0"/>
    <n v="-7.9843505370636922"/>
    <x v="2"/>
  </r>
  <r>
    <s v="Regular"/>
    <x v="1"/>
    <x v="0"/>
    <x v="1"/>
    <x v="5"/>
    <x v="0"/>
    <x v="0"/>
    <x v="0"/>
    <x v="10"/>
    <n v="0"/>
    <n v="0"/>
    <n v="1206.8920000000001"/>
    <n v="1206.8920000000001"/>
    <n v="1206.8920000000001"/>
    <n v="1206.8920000000001"/>
    <n v="5577"/>
    <s v="CATIVO"/>
    <n v="0"/>
    <n v="0"/>
    <n v="52"/>
    <n v="9"/>
    <n v="0"/>
    <n v="389.81"/>
    <n v="163.44999999999999"/>
    <m/>
    <n v="512.16294496076114"/>
    <n v="156.75768826917292"/>
    <n v="0"/>
    <n v="91047.932480000076"/>
    <n v="0"/>
    <n v="51530.742183838898"/>
    <x v="2"/>
  </r>
  <r>
    <s v="Refaturamento - Regular"/>
    <x v="1"/>
    <x v="0"/>
    <x v="1"/>
    <x v="5"/>
    <x v="0"/>
    <x v="0"/>
    <x v="0"/>
    <x v="10"/>
    <n v="0"/>
    <n v="0"/>
    <n v="-0.32800000000000001"/>
    <n v="-0.32800000000000001"/>
    <n v="-0.32800000000000001"/>
    <n v="-0.32800000000000001"/>
    <n v="0"/>
    <s v="CATIVO"/>
    <n v="0"/>
    <n v="0"/>
    <n v="52"/>
    <n v="9"/>
    <n v="0"/>
    <n v="389.81"/>
    <n v="163.44999999999999"/>
    <m/>
    <n v="512.16294496076114"/>
    <n v="156.75768826917292"/>
    <n v="0"/>
    <n v="-24.74432000000002"/>
    <n v="0"/>
    <n v="-14.004636236133107"/>
    <x v="2"/>
  </r>
  <r>
    <s v="Sistema de Compensação"/>
    <x v="1"/>
    <x v="0"/>
    <x v="1"/>
    <x v="5"/>
    <x v="0"/>
    <x v="0"/>
    <x v="0"/>
    <x v="10"/>
    <n v="0"/>
    <n v="0"/>
    <n v="46.091999999999999"/>
    <n v="46.091999999999999"/>
    <n v="46.091999999999999"/>
    <n v="46.091999999999999"/>
    <n v="188"/>
    <s v="CATIVO"/>
    <n v="0"/>
    <n v="0"/>
    <n v="52"/>
    <n v="9"/>
    <n v="0"/>
    <n v="389.81"/>
    <n v="163.44999999999999"/>
    <m/>
    <n v="512.16294496076114"/>
    <n v="156.75768826917292"/>
    <n v="0"/>
    <n v="3477.1804800000023"/>
    <n v="0"/>
    <n v="1967.9929676702657"/>
    <x v="2"/>
  </r>
  <r>
    <s v="Regular"/>
    <x v="1"/>
    <x v="0"/>
    <x v="1"/>
    <x v="5"/>
    <x v="0"/>
    <x v="0"/>
    <x v="0"/>
    <x v="11"/>
    <n v="0"/>
    <n v="0"/>
    <n v="1362.568"/>
    <n v="1362.568"/>
    <n v="1362.568"/>
    <n v="1362.568"/>
    <n v="5576"/>
    <s v="CATIVO"/>
    <n v="0"/>
    <n v="0"/>
    <n v="52"/>
    <n v="9"/>
    <n v="0"/>
    <n v="389.81"/>
    <n v="163.44999999999999"/>
    <m/>
    <n v="512.16294496076114"/>
    <n v="156.75768826917292"/>
    <n v="0"/>
    <n v="102792.12992000008"/>
    <n v="0"/>
    <n v="58177.649960351875"/>
    <x v="2"/>
  </r>
  <r>
    <s v="Sistema de Compensação"/>
    <x v="1"/>
    <x v="0"/>
    <x v="1"/>
    <x v="5"/>
    <x v="0"/>
    <x v="0"/>
    <x v="0"/>
    <x v="11"/>
    <n v="0"/>
    <n v="0"/>
    <n v="39.896999999999998"/>
    <n v="39.896999999999998"/>
    <n v="39.896999999999998"/>
    <n v="39.896999999999998"/>
    <n v="189"/>
    <s v="CATIVO"/>
    <n v="0"/>
    <n v="0"/>
    <n v="52"/>
    <n v="9"/>
    <n v="0"/>
    <n v="389.81"/>
    <n v="163.44999999999999"/>
    <m/>
    <n v="512.16294496076114"/>
    <n v="156.75768826917292"/>
    <n v="0"/>
    <n v="3009.8296800000021"/>
    <n v="0"/>
    <n v="1703.4846704664712"/>
    <x v="2"/>
  </r>
  <r>
    <s v="Regular"/>
    <x v="2"/>
    <x v="0"/>
    <x v="2"/>
    <x v="6"/>
    <x v="0"/>
    <x v="0"/>
    <x v="0"/>
    <x v="0"/>
    <n v="0"/>
    <n v="0"/>
    <n v="8.86"/>
    <n v="8.3283999999999985"/>
    <n v="8.86"/>
    <n v="8.3283999999999985"/>
    <n v="5"/>
    <s v="CATIVO"/>
    <n v="0"/>
    <n v="0"/>
    <n v="67"/>
    <n v="39"/>
    <n v="0"/>
    <n v="442.96"/>
    <n v="185.74"/>
    <m/>
    <n v="544.85419676676725"/>
    <n v="166.7634981586946"/>
    <n v="0"/>
    <n v="334.21692000000058"/>
    <n v="0"/>
    <n v="378.29596662237617"/>
    <x v="3"/>
  </r>
  <r>
    <s v="Regular"/>
    <x v="2"/>
    <x v="0"/>
    <x v="2"/>
    <x v="6"/>
    <x v="0"/>
    <x v="0"/>
    <x v="0"/>
    <x v="1"/>
    <n v="0"/>
    <n v="0"/>
    <n v="8.4420000000000002"/>
    <n v="7.9354800000000001"/>
    <n v="8.4420000000000002"/>
    <n v="7.9354800000000001"/>
    <n v="5"/>
    <s v="CATIVO"/>
    <n v="0"/>
    <n v="0"/>
    <n v="67"/>
    <n v="39"/>
    <n v="0"/>
    <n v="442.96"/>
    <n v="185.74"/>
    <m/>
    <n v="544.85419676676725"/>
    <n v="166.7634981586946"/>
    <n v="0"/>
    <n v="318.44912400000004"/>
    <n v="0"/>
    <n v="360.44859483364502"/>
    <x v="3"/>
  </r>
  <r>
    <s v="Regular"/>
    <x v="2"/>
    <x v="0"/>
    <x v="2"/>
    <x v="6"/>
    <x v="0"/>
    <x v="0"/>
    <x v="0"/>
    <x v="2"/>
    <n v="0"/>
    <n v="0"/>
    <n v="7.4219999999999997"/>
    <n v="6.9766799999999991"/>
    <n v="7.4219999999999997"/>
    <n v="6.9766799999999991"/>
    <n v="5"/>
    <s v="CATIVO"/>
    <n v="0"/>
    <n v="0"/>
    <n v="67"/>
    <n v="39"/>
    <n v="0"/>
    <n v="442.96"/>
    <n v="185.74"/>
    <m/>
    <n v="544.85419676676725"/>
    <n v="166.7634981586946"/>
    <n v="0"/>
    <n v="279.97268400000036"/>
    <n v="0"/>
    <n v="316.8975919042071"/>
    <x v="3"/>
  </r>
  <r>
    <s v="Regular"/>
    <x v="2"/>
    <x v="0"/>
    <x v="2"/>
    <x v="6"/>
    <x v="0"/>
    <x v="0"/>
    <x v="0"/>
    <x v="3"/>
    <n v="0"/>
    <n v="0"/>
    <n v="6.89"/>
    <n v="6.4765999999999995"/>
    <n v="6.89"/>
    <n v="6.4765999999999995"/>
    <n v="5"/>
    <s v="CATIVO"/>
    <n v="0"/>
    <n v="0"/>
    <n v="67"/>
    <n v="39"/>
    <n v="0"/>
    <n v="442.96"/>
    <n v="185.74"/>
    <m/>
    <n v="544.85419676676725"/>
    <n v="166.7634981586946"/>
    <n v="0"/>
    <n v="259.90458000000012"/>
    <n v="0"/>
    <n v="294.18275508218608"/>
    <x v="3"/>
  </r>
  <r>
    <s v="Regular"/>
    <x v="2"/>
    <x v="0"/>
    <x v="2"/>
    <x v="6"/>
    <x v="0"/>
    <x v="0"/>
    <x v="0"/>
    <x v="4"/>
    <n v="0"/>
    <n v="0"/>
    <n v="6.3129999999999997"/>
    <n v="5.9342199999999998"/>
    <n v="6.3129999999999997"/>
    <n v="5.9342199999999998"/>
    <n v="5"/>
    <s v="CATIVO"/>
    <n v="0"/>
    <n v="0"/>
    <n v="67"/>
    <n v="39"/>
    <n v="0"/>
    <n v="442.96"/>
    <n v="185.74"/>
    <m/>
    <n v="544.85419676676725"/>
    <n v="166.7634981586946"/>
    <n v="0"/>
    <n v="238.13898599999993"/>
    <n v="0"/>
    <n v="269.54655048386638"/>
    <x v="3"/>
  </r>
  <r>
    <s v="Regular"/>
    <x v="2"/>
    <x v="0"/>
    <x v="2"/>
    <x v="6"/>
    <x v="0"/>
    <x v="0"/>
    <x v="0"/>
    <x v="5"/>
    <n v="0"/>
    <n v="0"/>
    <n v="4.319"/>
    <n v="4.0598599999999996"/>
    <n v="4.319"/>
    <n v="4.0598599999999996"/>
    <n v="5"/>
    <s v="CATIVO"/>
    <n v="0"/>
    <n v="0"/>
    <n v="67"/>
    <n v="39"/>
    <n v="0"/>
    <n v="442.96"/>
    <n v="185.74"/>
    <m/>
    <n v="544.85419676676725"/>
    <n v="166.7634981586946"/>
    <n v="0"/>
    <n v="162.92131800000021"/>
    <n v="0"/>
    <n v="184.40860946298443"/>
    <x v="3"/>
  </r>
  <r>
    <s v="Regular"/>
    <x v="2"/>
    <x v="0"/>
    <x v="2"/>
    <x v="6"/>
    <x v="0"/>
    <x v="0"/>
    <x v="0"/>
    <x v="6"/>
    <n v="0"/>
    <n v="0"/>
    <n v="3.2589999999999999"/>
    <n v="3.0634599999999996"/>
    <n v="3.2589999999999999"/>
    <n v="3.0634599999999996"/>
    <n v="5"/>
    <s v="CATIVO"/>
    <n v="0"/>
    <n v="0"/>
    <n v="67"/>
    <n v="39"/>
    <n v="0"/>
    <n v="442.96"/>
    <n v="185.74"/>
    <m/>
    <n v="544.85419676676725"/>
    <n v="166.7634981586946"/>
    <n v="0"/>
    <n v="122.93599800000018"/>
    <n v="0"/>
    <n v="139.14972406572502"/>
    <x v="3"/>
  </r>
  <r>
    <s v="Regular"/>
    <x v="2"/>
    <x v="0"/>
    <x v="2"/>
    <x v="6"/>
    <x v="0"/>
    <x v="0"/>
    <x v="0"/>
    <x v="7"/>
    <n v="0"/>
    <n v="0"/>
    <n v="3.5129999999999999"/>
    <n v="3.3022199999999997"/>
    <n v="3.5129999999999999"/>
    <n v="3.3022199999999997"/>
    <n v="5"/>
    <s v="CATIVO"/>
    <n v="0"/>
    <n v="0"/>
    <n v="67"/>
    <n v="39"/>
    <n v="0"/>
    <n v="442.96"/>
    <n v="185.74"/>
    <m/>
    <n v="544.85419676676725"/>
    <n v="166.7634981586946"/>
    <n v="0"/>
    <n v="132.51738600000013"/>
    <n v="0"/>
    <n v="149.99477773638898"/>
    <x v="3"/>
  </r>
  <r>
    <s v="Regular"/>
    <x v="2"/>
    <x v="0"/>
    <x v="2"/>
    <x v="6"/>
    <x v="0"/>
    <x v="0"/>
    <x v="0"/>
    <x v="8"/>
    <n v="0"/>
    <n v="0"/>
    <n v="4.3680000000000003"/>
    <n v="4.1059200000000002"/>
    <n v="4.3680000000000003"/>
    <n v="4.1059200000000002"/>
    <n v="5"/>
    <s v="CATIVO"/>
    <n v="0"/>
    <n v="0"/>
    <n v="67"/>
    <n v="39"/>
    <n v="0"/>
    <n v="442.96"/>
    <n v="185.74"/>
    <m/>
    <n v="544.85419676676725"/>
    <n v="166.7634981586946"/>
    <n v="0"/>
    <n v="164.76969600000004"/>
    <n v="0"/>
    <n v="186.50076548606512"/>
    <x v="3"/>
  </r>
  <r>
    <s v="Regular"/>
    <x v="2"/>
    <x v="0"/>
    <x v="2"/>
    <x v="6"/>
    <x v="0"/>
    <x v="0"/>
    <x v="0"/>
    <x v="9"/>
    <n v="0"/>
    <n v="0"/>
    <n v="3.9340000000000002"/>
    <n v="3.6979600000000001"/>
    <n v="3.9340000000000002"/>
    <n v="3.6979600000000001"/>
    <n v="5"/>
    <s v="CATIVO"/>
    <n v="0"/>
    <n v="0"/>
    <n v="67"/>
    <n v="39"/>
    <n v="0"/>
    <n v="442.96"/>
    <n v="185.74"/>
    <m/>
    <n v="544.85419676676725"/>
    <n v="166.7634981586946"/>
    <n v="0"/>
    <n v="148.39834800000003"/>
    <n v="0"/>
    <n v="167.97024071020604"/>
    <x v="3"/>
  </r>
  <r>
    <s v="Regular"/>
    <x v="2"/>
    <x v="0"/>
    <x v="2"/>
    <x v="6"/>
    <x v="0"/>
    <x v="0"/>
    <x v="0"/>
    <x v="10"/>
    <n v="0"/>
    <n v="0"/>
    <n v="3.6429999999999998"/>
    <n v="3.4244199999999996"/>
    <n v="3.6429999999999998"/>
    <n v="3.4244199999999996"/>
    <n v="5"/>
    <s v="CATIVO"/>
    <n v="0"/>
    <n v="0"/>
    <n v="67"/>
    <n v="39"/>
    <n v="0"/>
    <n v="442.96"/>
    <n v="185.74"/>
    <m/>
    <n v="544.85419676676725"/>
    <n v="166.7634981586946"/>
    <n v="0"/>
    <n v="137.42124600000014"/>
    <n v="0"/>
    <n v="155.54539575680761"/>
    <x v="3"/>
  </r>
  <r>
    <s v="Regular"/>
    <x v="2"/>
    <x v="0"/>
    <x v="2"/>
    <x v="6"/>
    <x v="0"/>
    <x v="0"/>
    <x v="0"/>
    <x v="11"/>
    <n v="0"/>
    <n v="0"/>
    <n v="3.62"/>
    <n v="3.4028"/>
    <n v="3.62"/>
    <n v="3.4028"/>
    <n v="5"/>
    <s v="CATIVO"/>
    <n v="0"/>
    <n v="0"/>
    <n v="67"/>
    <n v="39"/>
    <n v="0"/>
    <n v="442.96"/>
    <n v="185.74"/>
    <m/>
    <n v="544.85419676676725"/>
    <n v="166.7634981586946"/>
    <n v="0"/>
    <n v="136.55364000000003"/>
    <n v="0"/>
    <n v="154.5633633378103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332F9B-A598-4C1D-8A8D-281FACA18936}" name="Efeito Resumo" cacheId="2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429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9">
        <item x="0"/>
        <item x="4"/>
        <item x="7"/>
        <item x="1"/>
        <item x="5"/>
        <item x="2"/>
        <item x="3"/>
        <item x="6"/>
        <item t="default"/>
      </items>
    </pivotField>
    <pivotField axis="axisRow" showAll="0">
      <items count="11">
        <item x="6"/>
        <item x="8"/>
        <item x="9"/>
        <item x="0"/>
        <item x="1"/>
        <item x="2"/>
        <item x="3"/>
        <item x="4"/>
        <item x="5"/>
        <item x="7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28">
    <i>
      <x/>
    </i>
    <i r="1">
      <x/>
    </i>
    <i r="2">
      <x/>
    </i>
    <i r="3">
      <x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3"/>
    </i>
    <i r="3">
      <x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5"/>
    </i>
    <i r="4">
      <x v="4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 v="1"/>
    </i>
    <i r="8">
      <x v="2"/>
    </i>
    <i r="8">
      <x v="3"/>
    </i>
    <i r="8">
      <x v="4"/>
    </i>
    <i r="8">
      <x v="5"/>
    </i>
    <i r="8">
      <x v="7"/>
    </i>
    <i r="8">
      <x v="8"/>
    </i>
    <i r="8">
      <x v="9"/>
    </i>
    <i r="8">
      <x v="10"/>
    </i>
    <i r="8">
      <x v="11"/>
    </i>
    <i r="7">
      <x v="3"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2"/>
    </i>
    <i r="3">
      <x v="5"/>
    </i>
    <i r="4">
      <x v="4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2"/>
    </i>
    <i r="3">
      <x v="6"/>
    </i>
    <i r="4">
      <x v="3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2">
      <x v="2"/>
    </i>
    <i r="3">
      <x/>
    </i>
    <i r="4">
      <x v="3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3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3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2"/>
    </i>
    <i r="3">
      <x v="2"/>
    </i>
    <i r="4">
      <x v="1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238">
    <format dxfId="487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48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85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484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83">
      <pivotArea type="all" dataOnly="0" outline="0" fieldPosition="0"/>
    </format>
    <format dxfId="482">
      <pivotArea outline="0" collapsedLevelsAreSubtotals="1" fieldPosition="0"/>
    </format>
    <format dxfId="481">
      <pivotArea field="16" type="button" dataOnly="0" labelOnly="1" outline="0" axis="axisRow" fieldPosition="0"/>
    </format>
    <format dxfId="480">
      <pivotArea dataOnly="0" labelOnly="1" fieldPosition="0">
        <references count="1">
          <reference field="16" count="0"/>
        </references>
      </pivotArea>
    </format>
    <format dxfId="479">
      <pivotArea dataOnly="0" labelOnly="1" fieldPosition="0">
        <references count="2">
          <reference field="1" count="0"/>
          <reference field="16" count="0" selected="0"/>
        </references>
      </pivotArea>
    </format>
    <format dxfId="478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0" selected="0"/>
        </references>
      </pivotArea>
    </format>
    <format dxfId="477">
      <pivotArea dataOnly="0" labelOnly="1" fieldPosition="0">
        <references count="3">
          <reference field="1" count="1" selected="0">
            <x v="1"/>
          </reference>
          <reference field="2" count="2">
            <x v="1"/>
            <x v="2"/>
          </reference>
          <reference field="16" count="0" selected="0"/>
        </references>
      </pivotArea>
    </format>
    <format dxfId="476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0" selected="0"/>
        </references>
      </pivotArea>
    </format>
    <format dxfId="475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0" selected="0"/>
        </references>
      </pivotArea>
    </format>
    <format dxfId="474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0" selected="0"/>
        </references>
      </pivotArea>
    </format>
    <format dxfId="473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472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2">
            <x v="0"/>
            <x v="3"/>
          </reference>
          <reference field="16" count="0" selected="0"/>
        </references>
      </pivotArea>
    </format>
    <format dxfId="471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470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5"/>
          </reference>
          <reference field="16" count="0" selected="0"/>
        </references>
      </pivotArea>
    </format>
    <format dxfId="469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6"/>
          </reference>
          <reference field="16" count="0" selected="0"/>
        </references>
      </pivotArea>
    </format>
    <format dxfId="468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0"/>
          </reference>
          <reference field="16" count="0" selected="0"/>
        </references>
      </pivotArea>
    </format>
    <format dxfId="467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66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0" selected="0"/>
        </references>
      </pivotArea>
    </format>
    <format dxfId="465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64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63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62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4"/>
          </reference>
          <reference field="16" count="0" selected="0"/>
        </references>
      </pivotArea>
    </format>
    <format dxfId="461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460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3"/>
          </reference>
          <reference field="16" count="0" selected="0"/>
        </references>
      </pivotArea>
    </format>
    <format dxfId="45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58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57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456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55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454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2">
            <x v="0"/>
            <x v="9"/>
          </reference>
          <reference field="16" count="0" selected="0"/>
        </references>
      </pivotArea>
    </format>
    <format dxfId="453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1"/>
            <x v="2"/>
          </reference>
          <reference field="16" count="0" selected="0"/>
        </references>
      </pivotArea>
    </format>
    <format dxfId="45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451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450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44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/>
          <reference field="16" count="0" selected="0"/>
        </references>
      </pivotArea>
    </format>
    <format dxfId="448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/>
          <reference field="16" count="0" selected="0"/>
        </references>
      </pivotArea>
    </format>
    <format dxfId="447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/>
          <reference field="16" count="0" selected="0"/>
        </references>
      </pivotArea>
    </format>
    <format dxfId="446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/>
          <reference field="16" count="0" selected="0"/>
        </references>
      </pivotArea>
    </format>
    <format dxfId="445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/>
          <reference field="16" count="0" selected="0"/>
        </references>
      </pivotArea>
    </format>
    <format dxfId="44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0"/>
          <reference field="16" count="0" selected="0"/>
        </references>
      </pivotArea>
    </format>
    <format dxfId="443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44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441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440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439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438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437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436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9"/>
          </reference>
          <reference field="5" count="0"/>
          <reference field="16" count="0" selected="0"/>
        </references>
      </pivotArea>
    </format>
    <format dxfId="435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/>
          <reference field="16" count="0" selected="0"/>
        </references>
      </pivotArea>
    </format>
    <format dxfId="434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3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432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431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43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/>
          <reference field="16" count="0" selected="0"/>
        </references>
      </pivotArea>
    </format>
    <format dxfId="429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/>
          <reference field="16" count="0" selected="0"/>
        </references>
      </pivotArea>
    </format>
    <format dxfId="428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/>
          <reference field="16" count="0" selected="0"/>
        </references>
      </pivotArea>
    </format>
    <format dxfId="427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/>
          <reference field="16" count="0" selected="0"/>
        </references>
      </pivotArea>
    </format>
    <format dxfId="426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/>
          <reference field="16" count="0" selected="0"/>
        </references>
      </pivotArea>
    </format>
    <format dxfId="42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0" selected="0"/>
          <reference field="6" count="0"/>
          <reference field="16" count="0" selected="0"/>
        </references>
      </pivotArea>
    </format>
    <format dxfId="424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42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422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421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420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419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418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417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9"/>
          </reference>
          <reference field="5" count="0" selected="0"/>
          <reference field="6" count="0"/>
          <reference field="16" count="0" selected="0"/>
        </references>
      </pivotArea>
    </format>
    <format dxfId="416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/>
          <reference field="16" count="0" selected="0"/>
        </references>
      </pivotArea>
    </format>
    <format dxfId="415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41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413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1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1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410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09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08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07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0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05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0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403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02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01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00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99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98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9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97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96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9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9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9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9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9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9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8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8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8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8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1"/>
          </reference>
          <reference field="8" count="10">
            <x v="1"/>
            <x v="2"/>
            <x v="3"/>
            <x v="4"/>
            <x v="5"/>
            <x v="7"/>
            <x v="8"/>
            <x v="9"/>
            <x v="10"/>
            <x v="11"/>
          </reference>
          <reference field="16" count="0" selected="0"/>
        </references>
      </pivotArea>
    </format>
    <format dxfId="38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3"/>
          </reference>
          <reference field="8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384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83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8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81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80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79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7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0"/>
          </reference>
          <reference field="8" count="7">
            <x v="0"/>
            <x v="1"/>
            <x v="2"/>
            <x v="3"/>
            <x v="4"/>
            <x v="5"/>
            <x v="6"/>
          </reference>
          <reference field="16" count="0" selected="0"/>
        </references>
      </pivotArea>
    </format>
    <format dxfId="37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1"/>
          </reference>
          <reference field="8" count="6">
            <x v="0"/>
            <x v="1"/>
            <x v="2"/>
            <x v="3"/>
            <x v="4"/>
            <x v="5"/>
          </reference>
          <reference field="16" count="0" selected="0"/>
        </references>
      </pivotArea>
    </format>
    <format dxfId="37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3"/>
          </reference>
          <reference field="8" count="6">
            <x v="0"/>
            <x v="1"/>
            <x v="2"/>
            <x v="3"/>
            <x v="4"/>
            <x v="5"/>
          </reference>
          <reference field="16" count="0" selected="0"/>
        </references>
      </pivotArea>
    </format>
    <format dxfId="375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74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7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72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71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70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9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9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8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7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66">
      <pivotArea type="all" dataOnly="0" outline="0" fieldPosition="0"/>
    </format>
    <format dxfId="365">
      <pivotArea outline="0" collapsedLevelsAreSubtotals="1" fieldPosition="0"/>
    </format>
    <format dxfId="364">
      <pivotArea field="16" type="button" dataOnly="0" labelOnly="1" outline="0" axis="axisRow" fieldPosition="0"/>
    </format>
    <format dxfId="363">
      <pivotArea dataOnly="0" labelOnly="1" fieldPosition="0">
        <references count="1">
          <reference field="16" count="0"/>
        </references>
      </pivotArea>
    </format>
    <format dxfId="362">
      <pivotArea dataOnly="0" labelOnly="1" fieldPosition="0">
        <references count="2">
          <reference field="1" count="0"/>
          <reference field="16" count="0" selected="0"/>
        </references>
      </pivotArea>
    </format>
    <format dxfId="361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0" selected="0"/>
        </references>
      </pivotArea>
    </format>
    <format dxfId="360">
      <pivotArea dataOnly="0" labelOnly="1" fieldPosition="0">
        <references count="3">
          <reference field="1" count="1" selected="0">
            <x v="1"/>
          </reference>
          <reference field="2" count="2">
            <x v="1"/>
            <x v="2"/>
          </reference>
          <reference field="16" count="0" selected="0"/>
        </references>
      </pivotArea>
    </format>
    <format dxfId="359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0" selected="0"/>
        </references>
      </pivotArea>
    </format>
    <format dxfId="358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0" selected="0"/>
        </references>
      </pivotArea>
    </format>
    <format dxfId="357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0" selected="0"/>
        </references>
      </pivotArea>
    </format>
    <format dxfId="356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355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2">
            <x v="0"/>
            <x v="3"/>
          </reference>
          <reference field="16" count="0" selected="0"/>
        </references>
      </pivotArea>
    </format>
    <format dxfId="35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353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5"/>
          </reference>
          <reference field="16" count="0" selected="0"/>
        </references>
      </pivotArea>
    </format>
    <format dxfId="352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6"/>
          </reference>
          <reference field="16" count="0" selected="0"/>
        </references>
      </pivotArea>
    </format>
    <format dxfId="351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0"/>
          </reference>
          <reference field="16" count="0" selected="0"/>
        </references>
      </pivotArea>
    </format>
    <format dxfId="350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349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0" selected="0"/>
        </references>
      </pivotArea>
    </format>
    <format dxfId="348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4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46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45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4"/>
          </reference>
          <reference field="16" count="0" selected="0"/>
        </references>
      </pivotArea>
    </format>
    <format dxfId="344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343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3"/>
          </reference>
          <reference field="16" count="0" selected="0"/>
        </references>
      </pivotArea>
    </format>
    <format dxfId="34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41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40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339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38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337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2">
            <x v="0"/>
            <x v="9"/>
          </reference>
          <reference field="16" count="0" selected="0"/>
        </references>
      </pivotArea>
    </format>
    <format dxfId="336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1"/>
            <x v="2"/>
          </reference>
          <reference field="16" count="0" selected="0"/>
        </references>
      </pivotArea>
    </format>
    <format dxfId="335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33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33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33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/>
          <reference field="16" count="0" selected="0"/>
        </references>
      </pivotArea>
    </format>
    <format dxfId="331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/>
          <reference field="16" count="0" selected="0"/>
        </references>
      </pivotArea>
    </format>
    <format dxfId="330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/>
          <reference field="16" count="0" selected="0"/>
        </references>
      </pivotArea>
    </format>
    <format dxfId="32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/>
          <reference field="16" count="0" selected="0"/>
        </references>
      </pivotArea>
    </format>
    <format dxfId="328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/>
          <reference field="16" count="0" selected="0"/>
        </references>
      </pivotArea>
    </format>
    <format dxfId="327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0"/>
          <reference field="16" count="0" selected="0"/>
        </references>
      </pivotArea>
    </format>
    <format dxfId="326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32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324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323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322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321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320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319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9"/>
          </reference>
          <reference field="5" count="0"/>
          <reference field="16" count="0" selected="0"/>
        </references>
      </pivotArea>
    </format>
    <format dxfId="318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/>
          <reference field="16" count="0" selected="0"/>
        </references>
      </pivotArea>
    </format>
    <format dxfId="317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16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15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1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1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/>
          <reference field="16" count="0" selected="0"/>
        </references>
      </pivotArea>
    </format>
    <format dxfId="312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/>
          <reference field="16" count="0" selected="0"/>
        </references>
      </pivotArea>
    </format>
    <format dxfId="311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/>
          <reference field="16" count="0" selected="0"/>
        </references>
      </pivotArea>
    </format>
    <format dxfId="31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/>
          <reference field="16" count="0" selected="0"/>
        </references>
      </pivotArea>
    </format>
    <format dxfId="309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/>
          <reference field="16" count="0" selected="0"/>
        </references>
      </pivotArea>
    </format>
    <format dxfId="308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0" selected="0"/>
          <reference field="6" count="0"/>
          <reference field="16" count="0" selected="0"/>
        </references>
      </pivotArea>
    </format>
    <format dxfId="307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0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05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04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03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02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01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300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9"/>
          </reference>
          <reference field="5" count="0" selected="0"/>
          <reference field="6" count="0"/>
          <reference field="16" count="0" selected="0"/>
        </references>
      </pivotArea>
    </format>
    <format dxfId="299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/>
          <reference field="16" count="0" selected="0"/>
        </references>
      </pivotArea>
    </format>
    <format dxfId="298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297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296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29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29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293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92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9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90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89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88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8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286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85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84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83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82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81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9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80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79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27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7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27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7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7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27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7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7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27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6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1"/>
          </reference>
          <reference field="8" count="10">
            <x v="1"/>
            <x v="2"/>
            <x v="3"/>
            <x v="4"/>
            <x v="5"/>
            <x v="7"/>
            <x v="8"/>
            <x v="9"/>
            <x v="10"/>
            <x v="11"/>
          </reference>
          <reference field="16" count="0" selected="0"/>
        </references>
      </pivotArea>
    </format>
    <format dxfId="26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3"/>
          </reference>
          <reference field="8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26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6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5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4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3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2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0"/>
          </reference>
          <reference field="8" count="7">
            <x v="0"/>
            <x v="1"/>
            <x v="2"/>
            <x v="3"/>
            <x v="4"/>
            <x v="5"/>
            <x v="6"/>
          </reference>
          <reference field="16" count="0" selected="0"/>
        </references>
      </pivotArea>
    </format>
    <format dxfId="26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1"/>
          </reference>
          <reference field="8" count="6">
            <x v="0"/>
            <x v="1"/>
            <x v="2"/>
            <x v="3"/>
            <x v="4"/>
            <x v="5"/>
          </reference>
          <reference field="16" count="0" selected="0"/>
        </references>
      </pivotArea>
    </format>
    <format dxfId="25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3"/>
          </reference>
          <reference field="8" count="6">
            <x v="0"/>
            <x v="1"/>
            <x v="2"/>
            <x v="3"/>
            <x v="4"/>
            <x v="5"/>
          </reference>
          <reference field="16" count="0" selected="0"/>
        </references>
      </pivotArea>
    </format>
    <format dxfId="258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57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56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55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54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5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9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52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51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5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F56D7C-2688-44C3-918A-99E2B8F4EF61}" name="Subsidio Resumo" cacheId="2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118" firstHeaderRow="0" firstDataRow="1" firstDataCol="1"/>
  <pivotFields count="34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8">
        <item x="6"/>
        <item x="5"/>
        <item x="0"/>
        <item x="1"/>
        <item x="2"/>
        <item x="3"/>
        <item x="4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numFmtId="40" showAll="0"/>
    <pivotField numFmtId="40"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5">
        <item x="3"/>
        <item x="1"/>
        <item x="2"/>
        <item x="0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117">
    <i>
      <x/>
    </i>
    <i r="1">
      <x v="2"/>
    </i>
    <i r="2">
      <x/>
    </i>
    <i r="3">
      <x v="2"/>
    </i>
    <i r="4">
      <x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/>
    </i>
    <i r="3">
      <x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1"/>
    </i>
    <i r="2">
      <x/>
    </i>
    <i r="3">
      <x v="1"/>
    </i>
    <i r="4">
      <x v="1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/>
    </i>
    <i r="3">
      <x/>
    </i>
    <i r="4">
      <x v="2"/>
    </i>
    <i r="5">
      <x/>
    </i>
    <i r="6">
      <x/>
    </i>
    <i r="7">
      <x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00">
    <format dxfId="249">
      <pivotArea outline="0" collapsedLevelsAreSubtotals="1" fieldPosition="0"/>
    </format>
    <format dxfId="24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47">
      <pivotArea type="all" dataOnly="0" outline="0" fieldPosition="0"/>
    </format>
    <format dxfId="246">
      <pivotArea outline="0" collapsedLevelsAreSubtotals="1" fieldPosition="0"/>
    </format>
    <format dxfId="245">
      <pivotArea field="31" type="button" dataOnly="0" labelOnly="1" outline="0" axis="axisRow" fieldPosition="0"/>
    </format>
    <format dxfId="244">
      <pivotArea dataOnly="0" labelOnly="1" fieldPosition="0">
        <references count="1">
          <reference field="31" count="0"/>
        </references>
      </pivotArea>
    </format>
    <format dxfId="243">
      <pivotArea dataOnly="0" labelOnly="1" fieldPosition="0">
        <references count="2">
          <reference field="1" count="1">
            <x v="2"/>
          </reference>
          <reference field="31" count="1" selected="0">
            <x v="0"/>
          </reference>
        </references>
      </pivotArea>
    </format>
    <format dxfId="242">
      <pivotArea dataOnly="0" labelOnly="1" fieldPosition="0">
        <references count="2">
          <reference field="1" count="1">
            <x v="0"/>
          </reference>
          <reference field="31" count="1" selected="0">
            <x v="1"/>
          </reference>
        </references>
      </pivotArea>
    </format>
    <format dxfId="241">
      <pivotArea dataOnly="0" labelOnly="1" fieldPosition="0">
        <references count="2">
          <reference field="1" count="1">
            <x v="1"/>
          </reference>
          <reference field="31" count="1" selected="0">
            <x v="2"/>
          </reference>
        </references>
      </pivotArea>
    </format>
    <format dxfId="240">
      <pivotArea dataOnly="0" labelOnly="1" fieldPosition="0">
        <references count="2">
          <reference field="1" count="1">
            <x v="0"/>
          </reference>
          <reference field="31" count="1" selected="0">
            <x v="3"/>
          </reference>
        </references>
      </pivotArea>
    </format>
    <format dxfId="239">
      <pivotArea dataOnly="0" labelOnly="1" fieldPosition="0">
        <references count="3">
          <reference field="1" count="1" selected="0">
            <x v="2"/>
          </reference>
          <reference field="2" count="0"/>
          <reference field="31" count="1" selected="0">
            <x v="0"/>
          </reference>
        </references>
      </pivotArea>
    </format>
    <format dxfId="238">
      <pivotArea dataOnly="0" labelOnly="1" fieldPosition="0">
        <references count="3">
          <reference field="1" count="1" selected="0">
            <x v="0"/>
          </reference>
          <reference field="2" count="0"/>
          <reference field="31" count="1" selected="0">
            <x v="1"/>
          </reference>
        </references>
      </pivotArea>
    </format>
    <format dxfId="237">
      <pivotArea dataOnly="0" labelOnly="1" fieldPosition="0">
        <references count="3">
          <reference field="1" count="1" selected="0">
            <x v="1"/>
          </reference>
          <reference field="2" count="0"/>
          <reference field="31" count="1" selected="0">
            <x v="2"/>
          </reference>
        </references>
      </pivotArea>
    </format>
    <format dxfId="236">
      <pivotArea dataOnly="0" labelOnly="1" fieldPosition="0">
        <references count="3">
          <reference field="1" count="1" selected="0">
            <x v="0"/>
          </reference>
          <reference field="2" count="0"/>
          <reference field="31" count="1" selected="0">
            <x v="3"/>
          </reference>
        </references>
      </pivotArea>
    </format>
    <format dxfId="235">
      <pivotArea dataOnly="0" labelOnly="1" fieldPosition="0">
        <references count="4">
          <reference field="1" count="1" selected="0">
            <x v="2"/>
          </reference>
          <reference field="2" count="0" selected="0"/>
          <reference field="3" count="1">
            <x v="2"/>
          </reference>
          <reference field="31" count="1" selected="0">
            <x v="0"/>
          </reference>
        </references>
      </pivotArea>
    </format>
    <format dxfId="234">
      <pivotArea dataOnly="0" labelOnly="1" fieldPosition="0">
        <references count="4">
          <reference field="1" count="1" selected="0">
            <x v="0"/>
          </reference>
          <reference field="2" count="0" selected="0"/>
          <reference field="3" count="1">
            <x v="0"/>
          </reference>
          <reference field="31" count="1" selected="0">
            <x v="1"/>
          </reference>
        </references>
      </pivotArea>
    </format>
    <format dxfId="233">
      <pivotArea dataOnly="0" labelOnly="1" fieldPosition="0">
        <references count="4">
          <reference field="1" count="1" selected="0">
            <x v="1"/>
          </reference>
          <reference field="2" count="0" selected="0"/>
          <reference field="3" count="1">
            <x v="1"/>
          </reference>
          <reference field="31" count="1" selected="0">
            <x v="2"/>
          </reference>
        </references>
      </pivotArea>
    </format>
    <format dxfId="232">
      <pivotArea dataOnly="0" labelOnly="1" fieldPosition="0">
        <references count="4">
          <reference field="1" count="1" selected="0">
            <x v="0"/>
          </reference>
          <reference field="2" count="0" selected="0"/>
          <reference field="3" count="1">
            <x v="0"/>
          </reference>
          <reference field="31" count="1" selected="0">
            <x v="3"/>
          </reference>
        </references>
      </pivotArea>
    </format>
    <format dxfId="231">
      <pivotArea dataOnly="0" labelOnly="1" fieldPosition="0">
        <references count="5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30">
      <pivotArea dataOnly="0" labelOnly="1" fieldPosition="0">
        <references count="5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229">
      <pivotArea dataOnly="0" labelOnly="1" fieldPosition="0">
        <references count="5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228">
      <pivotArea dataOnly="0" labelOnly="1" fieldPosition="0">
        <references count="5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227">
      <pivotArea dataOnly="0" labelOnly="1" fieldPosition="0">
        <references count="6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226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3"/>
          </reference>
          <reference field="5" count="0"/>
          <reference field="31" count="1" selected="0">
            <x v="1"/>
          </reference>
        </references>
      </pivotArea>
    </format>
    <format dxfId="225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0"/>
          <reference field="31" count="1" selected="0">
            <x v="1"/>
          </reference>
        </references>
      </pivotArea>
    </format>
    <format dxfId="224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0"/>
          <reference field="31" count="1" selected="0">
            <x v="1"/>
          </reference>
        </references>
      </pivotArea>
    </format>
    <format dxfId="223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0"/>
          <reference field="31" count="1" selected="0">
            <x v="1"/>
          </reference>
        </references>
      </pivotArea>
    </format>
    <format dxfId="222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1"/>
          </reference>
          <reference field="5" count="0"/>
          <reference field="31" count="1" selected="0">
            <x v="2"/>
          </reference>
        </references>
      </pivotArea>
    </format>
    <format dxfId="221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2"/>
          </reference>
          <reference field="5" count="0"/>
          <reference field="31" count="1" selected="0">
            <x v="3"/>
          </reference>
        </references>
      </pivotArea>
    </format>
    <format dxfId="220">
      <pivotArea dataOnly="0" labelOnly="1" fieldPosition="0">
        <references count="7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219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18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17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16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15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/>
          <reference field="31" count="1" selected="0">
            <x v="2"/>
          </reference>
        </references>
      </pivotArea>
    </format>
    <format dxfId="214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/>
          <reference field="31" count="1" selected="0">
            <x v="3"/>
          </reference>
        </references>
      </pivotArea>
    </format>
    <format dxfId="213">
      <pivotArea dataOnly="0" labelOnly="1" fieldPosition="0">
        <references count="8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0"/>
          <reference field="31" count="1" selected="0">
            <x v="0"/>
          </reference>
        </references>
      </pivotArea>
    </format>
    <format dxfId="212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0"/>
          <reference field="31" count="1" selected="0">
            <x v="1"/>
          </reference>
        </references>
      </pivotArea>
    </format>
    <format dxfId="211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0"/>
          <reference field="31" count="1" selected="0">
            <x v="1"/>
          </reference>
        </references>
      </pivotArea>
    </format>
    <format dxfId="210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0"/>
          <reference field="31" count="1" selected="0">
            <x v="1"/>
          </reference>
        </references>
      </pivotArea>
    </format>
    <format dxfId="209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0"/>
          <reference field="31" count="1" selected="0">
            <x v="1"/>
          </reference>
        </references>
      </pivotArea>
    </format>
    <format dxfId="208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0"/>
          <reference field="31" count="1" selected="0">
            <x v="2"/>
          </reference>
        </references>
      </pivotArea>
    </format>
    <format dxfId="207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0"/>
          <reference field="31" count="1" selected="0">
            <x v="3"/>
          </reference>
        </references>
      </pivotArea>
    </format>
    <format dxfId="206">
      <pivotArea dataOnly="0" labelOnly="1" fieldPosition="0">
        <references count="9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0"/>
          </reference>
        </references>
      </pivotArea>
    </format>
    <format dxfId="205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204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203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202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201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2"/>
          </reference>
        </references>
      </pivotArea>
    </format>
    <format dxfId="200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0" selected="0"/>
          <reference field="8" count="1">
            <x v="0"/>
          </reference>
          <reference field="31" count="1" selected="0">
            <x v="3"/>
          </reference>
        </references>
      </pivotArea>
    </format>
    <format dxfId="19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98">
      <pivotArea type="all" dataOnly="0" outline="0" fieldPosition="0"/>
    </format>
    <format dxfId="197">
      <pivotArea outline="0" collapsedLevelsAreSubtotals="1" fieldPosition="0"/>
    </format>
    <format dxfId="196">
      <pivotArea field="31" type="button" dataOnly="0" labelOnly="1" outline="0" axis="axisRow" fieldPosition="0"/>
    </format>
    <format dxfId="195">
      <pivotArea dataOnly="0" labelOnly="1" fieldPosition="0">
        <references count="1">
          <reference field="31" count="0"/>
        </references>
      </pivotArea>
    </format>
    <format dxfId="194">
      <pivotArea dataOnly="0" labelOnly="1" fieldPosition="0">
        <references count="2">
          <reference field="1" count="1">
            <x v="2"/>
          </reference>
          <reference field="31" count="1" selected="0">
            <x v="0"/>
          </reference>
        </references>
      </pivotArea>
    </format>
    <format dxfId="193">
      <pivotArea dataOnly="0" labelOnly="1" fieldPosition="0">
        <references count="2">
          <reference field="1" count="1">
            <x v="0"/>
          </reference>
          <reference field="31" count="1" selected="0">
            <x v="1"/>
          </reference>
        </references>
      </pivotArea>
    </format>
    <format dxfId="192">
      <pivotArea dataOnly="0" labelOnly="1" fieldPosition="0">
        <references count="2">
          <reference field="1" count="1">
            <x v="1"/>
          </reference>
          <reference field="31" count="1" selected="0">
            <x v="2"/>
          </reference>
        </references>
      </pivotArea>
    </format>
    <format dxfId="191">
      <pivotArea dataOnly="0" labelOnly="1" fieldPosition="0">
        <references count="2">
          <reference field="1" count="1">
            <x v="0"/>
          </reference>
          <reference field="31" count="1" selected="0">
            <x v="3"/>
          </reference>
        </references>
      </pivotArea>
    </format>
    <format dxfId="190">
      <pivotArea dataOnly="0" labelOnly="1" fieldPosition="0">
        <references count="3">
          <reference field="1" count="1" selected="0">
            <x v="2"/>
          </reference>
          <reference field="2" count="0"/>
          <reference field="31" count="1" selected="0">
            <x v="0"/>
          </reference>
        </references>
      </pivotArea>
    </format>
    <format dxfId="189">
      <pivotArea dataOnly="0" labelOnly="1" fieldPosition="0">
        <references count="3">
          <reference field="1" count="1" selected="0">
            <x v="0"/>
          </reference>
          <reference field="2" count="0"/>
          <reference field="31" count="1" selected="0">
            <x v="1"/>
          </reference>
        </references>
      </pivotArea>
    </format>
    <format dxfId="188">
      <pivotArea dataOnly="0" labelOnly="1" fieldPosition="0">
        <references count="3">
          <reference field="1" count="1" selected="0">
            <x v="1"/>
          </reference>
          <reference field="2" count="0"/>
          <reference field="31" count="1" selected="0">
            <x v="2"/>
          </reference>
        </references>
      </pivotArea>
    </format>
    <format dxfId="187">
      <pivotArea dataOnly="0" labelOnly="1" fieldPosition="0">
        <references count="3">
          <reference field="1" count="1" selected="0">
            <x v="0"/>
          </reference>
          <reference field="2" count="0"/>
          <reference field="31" count="1" selected="0">
            <x v="3"/>
          </reference>
        </references>
      </pivotArea>
    </format>
    <format dxfId="186">
      <pivotArea dataOnly="0" labelOnly="1" fieldPosition="0">
        <references count="4">
          <reference field="1" count="1" selected="0">
            <x v="2"/>
          </reference>
          <reference field="2" count="0" selected="0"/>
          <reference field="3" count="1">
            <x v="2"/>
          </reference>
          <reference field="31" count="1" selected="0">
            <x v="0"/>
          </reference>
        </references>
      </pivotArea>
    </format>
    <format dxfId="185">
      <pivotArea dataOnly="0" labelOnly="1" fieldPosition="0">
        <references count="4">
          <reference field="1" count="1" selected="0">
            <x v="0"/>
          </reference>
          <reference field="2" count="0" selected="0"/>
          <reference field="3" count="1">
            <x v="0"/>
          </reference>
          <reference field="31" count="1" selected="0">
            <x v="1"/>
          </reference>
        </references>
      </pivotArea>
    </format>
    <format dxfId="184">
      <pivotArea dataOnly="0" labelOnly="1" fieldPosition="0">
        <references count="4">
          <reference field="1" count="1" selected="0">
            <x v="1"/>
          </reference>
          <reference field="2" count="0" selected="0"/>
          <reference field="3" count="1">
            <x v="1"/>
          </reference>
          <reference field="31" count="1" selected="0">
            <x v="2"/>
          </reference>
        </references>
      </pivotArea>
    </format>
    <format dxfId="183">
      <pivotArea dataOnly="0" labelOnly="1" fieldPosition="0">
        <references count="4">
          <reference field="1" count="1" selected="0">
            <x v="0"/>
          </reference>
          <reference field="2" count="0" selected="0"/>
          <reference field="3" count="1">
            <x v="0"/>
          </reference>
          <reference field="31" count="1" selected="0">
            <x v="3"/>
          </reference>
        </references>
      </pivotArea>
    </format>
    <format dxfId="182">
      <pivotArea dataOnly="0" labelOnly="1" fieldPosition="0">
        <references count="5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181">
      <pivotArea dataOnly="0" labelOnly="1" fieldPosition="0">
        <references count="5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180">
      <pivotArea dataOnly="0" labelOnly="1" fieldPosition="0">
        <references count="5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179">
      <pivotArea dataOnly="0" labelOnly="1" fieldPosition="0">
        <references count="5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178">
      <pivotArea dataOnly="0" labelOnly="1" fieldPosition="0">
        <references count="6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177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3"/>
          </reference>
          <reference field="5" count="0"/>
          <reference field="31" count="1" selected="0">
            <x v="1"/>
          </reference>
        </references>
      </pivotArea>
    </format>
    <format dxfId="176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0"/>
          <reference field="31" count="1" selected="0">
            <x v="1"/>
          </reference>
        </references>
      </pivotArea>
    </format>
    <format dxfId="175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0"/>
          <reference field="31" count="1" selected="0">
            <x v="1"/>
          </reference>
        </references>
      </pivotArea>
    </format>
    <format dxfId="174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0"/>
          <reference field="31" count="1" selected="0">
            <x v="1"/>
          </reference>
        </references>
      </pivotArea>
    </format>
    <format dxfId="173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1"/>
          </reference>
          <reference field="5" count="0"/>
          <reference field="31" count="1" selected="0">
            <x v="2"/>
          </reference>
        </references>
      </pivotArea>
    </format>
    <format dxfId="172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2"/>
          </reference>
          <reference field="5" count="0"/>
          <reference field="31" count="1" selected="0">
            <x v="3"/>
          </reference>
        </references>
      </pivotArea>
    </format>
    <format dxfId="171">
      <pivotArea dataOnly="0" labelOnly="1" fieldPosition="0">
        <references count="7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170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69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68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67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66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/>
          <reference field="31" count="1" selected="0">
            <x v="2"/>
          </reference>
        </references>
      </pivotArea>
    </format>
    <format dxfId="165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/>
          <reference field="31" count="1" selected="0">
            <x v="3"/>
          </reference>
        </references>
      </pivotArea>
    </format>
    <format dxfId="164">
      <pivotArea dataOnly="0" labelOnly="1" fieldPosition="0">
        <references count="8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0"/>
          <reference field="31" count="1" selected="0">
            <x v="0"/>
          </reference>
        </references>
      </pivotArea>
    </format>
    <format dxfId="163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0"/>
          <reference field="31" count="1" selected="0">
            <x v="1"/>
          </reference>
        </references>
      </pivotArea>
    </format>
    <format dxfId="162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0"/>
          <reference field="31" count="1" selected="0">
            <x v="1"/>
          </reference>
        </references>
      </pivotArea>
    </format>
    <format dxfId="160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0"/>
          <reference field="31" count="1" selected="0">
            <x v="1"/>
          </reference>
        </references>
      </pivotArea>
    </format>
    <format dxfId="159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0"/>
          <reference field="31" count="1" selected="0">
            <x v="2"/>
          </reference>
        </references>
      </pivotArea>
    </format>
    <format dxfId="158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0"/>
          <reference field="31" count="1" selected="0">
            <x v="3"/>
          </reference>
        </references>
      </pivotArea>
    </format>
    <format dxfId="157">
      <pivotArea dataOnly="0" labelOnly="1" fieldPosition="0">
        <references count="9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0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153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152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0" selected="0"/>
          <reference field="8" count="0"/>
          <reference field="31" count="1" selected="0">
            <x v="2"/>
          </reference>
        </references>
      </pivotArea>
    </format>
    <format dxfId="151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0" selected="0"/>
          <reference field="8" count="1">
            <x v="0"/>
          </reference>
          <reference field="31" count="1" selected="0">
            <x v="3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7675862-2370-4A11-95C7-9AB414FCD1AF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EE08902-1278-45F7-B52F-B2EF73133E0B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30830FF-84EA-47AE-A558-86737F53B80C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71701-F3CB-4A7D-AF3F-EB9F5113B60F}" name="Efeito" displayName="Efeito" ref="A1:AG418" totalsRowShown="0" headerRowDxfId="556" dataDxfId="555">
  <autoFilter ref="A1:AG418" xr:uid="{9C071701-F3CB-4A7D-AF3F-EB9F5113B60F}"/>
  <tableColumns count="33">
    <tableColumn id="1" xr3:uid="{8CF61F55-639D-474C-BD86-8830FDDAFC86}" name="TipoMercado" dataDxfId="554"/>
    <tableColumn id="2" xr3:uid="{A5BFCE13-2333-407C-B456-A1009FDDA8ED}" name="Subgrupo" dataDxfId="553"/>
    <tableColumn id="3" xr3:uid="{2C3ABC4B-E837-4620-BFDF-14EEA0B9D737}" name="Modalidade" dataDxfId="552"/>
    <tableColumn id="4" xr3:uid="{74AEBABA-34CE-4C87-AE7B-4F23AC0C3F81}" name="Classe" dataDxfId="551"/>
    <tableColumn id="5" xr3:uid="{358B0908-6200-4C23-A243-ACAA275CCFB7}" name="Subclasse" dataDxfId="550"/>
    <tableColumn id="6" xr3:uid="{A7EB2840-E235-417D-BDCD-D2EE220F1CFA}" name="Detalhe" dataDxfId="549"/>
    <tableColumn id="7" xr3:uid="{6ECF6A85-E9F9-4E34-8103-6B7AC1C5E995}" name="Agente" dataDxfId="548"/>
    <tableColumn id="8" xr3:uid="{41C7D8A1-CC6D-4B03-B293-C282B389A2FA}" name="Posto" dataDxfId="547"/>
    <tableColumn id="9" xr3:uid="{B437B461-F730-4DAB-AFFF-3C42FD406E5B}" name="AnoMes" dataDxfId="546"/>
    <tableColumn id="10" xr3:uid="{C19C79DA-857D-462A-9861-2DFA38CC8267}" name="D" dataDxfId="545"/>
    <tableColumn id="11" xr3:uid="{4C13AC1F-ADD0-4926-A333-FA78A5A7412C}" name="Daj" dataDxfId="544"/>
    <tableColumn id="12" xr3:uid="{A4A1A9D2-115E-4577-8F56-CBA4F55878EA}" name="TUSD_E" dataDxfId="543"/>
    <tableColumn id="13" xr3:uid="{65D01C68-B2EF-4DFB-A0A8-F380740C5ADC}" name="TUSD_Eaj" dataDxfId="542"/>
    <tableColumn id="14" xr3:uid="{7BAB1EE0-8CFD-441F-B4D9-D3202657892F}" name="TE_E" dataDxfId="541"/>
    <tableColumn id="15" xr3:uid="{54A29ADC-407B-4127-96B2-24295B5C1AB2}" name="TE_Eaj" dataDxfId="540"/>
    <tableColumn id="16" xr3:uid="{E651EF0D-5F72-4152-A16F-DBC252517A9C}" name="UC" dataDxfId="539"/>
    <tableColumn id="17" xr3:uid="{BC0F3147-3323-4A67-AC59-E1B0A1B84C44}" name="OPÇÃO" dataDxfId="538"/>
    <tableColumn id="18" xr3:uid="{47612757-1D45-4229-A164-8380AFFA0F11}" name="CóD. AUX." dataDxfId="537"/>
    <tableColumn id="19" xr3:uid="{12F30CEA-26CD-40CB-A55C-C0AACA6C1042}" name="CóD. AUX. TUSD R$/kW" dataDxfId="536"/>
    <tableColumn id="20" xr3:uid="{F6353EED-0622-49BD-8D02-737BB829AEBD}" name="CóD. AUX. TUSD R$/MWh" dataDxfId="535"/>
    <tableColumn id="21" xr3:uid="{45174E93-0BE0-40ED-82E8-F4A964EA7180}" name="CóD. AUX. TE R$/MWh" dataDxfId="534"/>
    <tableColumn id="22" xr3:uid="{5E915862-0358-4498-8D4B-9AC366740B38}" name="TUSD (R$/kW)" dataDxfId="533"/>
    <tableColumn id="23" xr3:uid="{B3943DD5-DB2F-41C4-8A5E-4A0C2E42718A}" name="TUSD (R$/MWh)" dataDxfId="532"/>
    <tableColumn id="24" xr3:uid="{ABA77281-7B26-45AA-950A-6004C101EDEA}" name="TE (R$/MWh)" dataDxfId="531"/>
    <tableColumn id="25" xr3:uid="{6CD66E3F-187D-4A98-B04D-20826D4833BB}" name="TUSD (R$/kW) NOVA" dataDxfId="530"/>
    <tableColumn id="26" xr3:uid="{F6AC2F76-AEEB-43B9-8203-B1B6DC3D936C}" name="TUSD (R$/MWh) NOVA" dataDxfId="529">
      <calculatedColumnFormula>('TUSD BE'!$AM$51+'TUSD BF'!$AM$51+'TUSD CVA'!$AM$51)*1</calculatedColumnFormula>
    </tableColumn>
    <tableColumn id="27" xr3:uid="{FD9B8541-664F-4C4F-8467-D4E22853C0E7}" name="TE (R$/MWh) NOVA" dataDxfId="528">
      <calculatedColumnFormula>('TE BE'!$AB$42+'TE BF'!$AB$42+'TE CVA'!$AB$42)*1</calculatedColumnFormula>
    </tableColumn>
    <tableColumn id="28" xr3:uid="{E68CC312-BA6C-4DF5-B3ED-A5038A230AB2}" name="RA0 ou RV - TUSD (kW)" dataDxfId="527"/>
    <tableColumn id="29" xr3:uid="{BDBA9514-32D3-46AB-ABC5-A8B77F817562}" name="RA0 ou RV - TUSD (MWh)" dataDxfId="526"/>
    <tableColumn id="30" xr3:uid="{4E6D246A-8055-400C-9E21-FA01482F6C0D}" name="RA0 ou RV - TE (MWh)" dataDxfId="525"/>
    <tableColumn id="31" xr3:uid="{E474DE90-A985-4E85-957D-BE685896D6FB}" name="RA1 ou RRD - TUSD (kW)" dataDxfId="524"/>
    <tableColumn id="32" xr3:uid="{A648507F-95B4-4A02-A4F4-A2871362E388}" name="RA1 ou RRD - TUSD (MWh)" dataDxfId="523"/>
    <tableColumn id="33" xr3:uid="{AA83CA58-A732-4362-9273-78F2825FC483}" name="RA1 ou RRD - TE (MWh)" dataDxfId="5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BE5E86-FD45-45CB-95B8-BBB92A4A8F22}" name="Subsidio" displayName="Subsidio" ref="A1:AF116" totalsRowShown="0" headerRowDxfId="521" dataDxfId="520">
  <autoFilter ref="A1:AF116" xr:uid="{2FBE5E86-FD45-45CB-95B8-BBB92A4A8F22}"/>
  <tableColumns count="32">
    <tableColumn id="1" xr3:uid="{E88F1F13-AD46-41F5-8359-EFFE07E78BDD}" name="TipoMercado" dataDxfId="519"/>
    <tableColumn id="2" xr3:uid="{7F7C67B2-0115-414F-A629-0BC6136D8E59}" name="Subgrupo" dataDxfId="518"/>
    <tableColumn id="3" xr3:uid="{D03DB449-3BEA-4FDF-AE4B-946A7C7E67F6}" name="Modalidade" dataDxfId="517"/>
    <tableColumn id="4" xr3:uid="{06A35FB1-F7F8-4EBD-9830-DA17D17219C3}" name="Classe" dataDxfId="516"/>
    <tableColumn id="5" xr3:uid="{3FA6002E-23AC-41C1-9E27-287DC4A254D1}" name="Subclasse" dataDxfId="515"/>
    <tableColumn id="6" xr3:uid="{0B8E405F-41CB-420A-8533-3F149D579D88}" name="Detalhe" dataDxfId="514"/>
    <tableColumn id="7" xr3:uid="{CA74C761-7615-4BE0-89AE-F3C634099AFB}" name="Agente" dataDxfId="513"/>
    <tableColumn id="8" xr3:uid="{4004597A-92AA-49ED-8114-BE35E83DBD27}" name="Posto" dataDxfId="512"/>
    <tableColumn id="9" xr3:uid="{4690EF83-C017-4A1D-A297-E0FAC7306AEA}" name="AnoMes" dataDxfId="511"/>
    <tableColumn id="10" xr3:uid="{0DD7C1E3-7F13-4A2C-B61D-CFF82003AB0C}" name="D" dataDxfId="510"/>
    <tableColumn id="11" xr3:uid="{D63BE89B-BC93-4980-80E5-D22AEB84B459}" name="Daj" dataDxfId="509"/>
    <tableColumn id="12" xr3:uid="{C78EDE02-2722-4589-9A1A-DFBD0A741BD4}" name="TUSD_E" dataDxfId="508"/>
    <tableColumn id="13" xr3:uid="{CC682042-66D7-4F80-A888-4CF26D8F3081}" name="TUSD_Eaj" dataDxfId="507"/>
    <tableColumn id="14" xr3:uid="{2B9F6F77-5B38-42C0-B14C-484C81F7166D}" name="TE_E" dataDxfId="506"/>
    <tableColumn id="15" xr3:uid="{5108EF76-4068-4426-8903-15414BE06970}" name="TE_Eaj" dataDxfId="505"/>
    <tableColumn id="16" xr3:uid="{036F219D-C901-491C-AEF2-D9CAEA46C137}" name="UC" dataDxfId="504"/>
    <tableColumn id="17" xr3:uid="{409D54EA-D03B-46A3-A930-B48C339DA704}" name="OPÇÃO" dataDxfId="503"/>
    <tableColumn id="18" xr3:uid="{C2485A36-4C24-4234-94D7-8684D898772F}" name="CóD. AUX." dataDxfId="502"/>
    <tableColumn id="19" xr3:uid="{8B652830-4A3E-4274-BCC9-44A167D1DEB5}" name="CóD. AUX. TUSD R$/kW" dataDxfId="501"/>
    <tableColumn id="20" xr3:uid="{309EF00D-1549-4AF1-A4E1-059F2C97937D}" name="CóD. AUX. TUSD R$/MWh" dataDxfId="500"/>
    <tableColumn id="21" xr3:uid="{D5087AAA-E232-4E11-8F80-9222F4BA9A1B}" name="CóD. AUX. TE R$/MWh" dataDxfId="499"/>
    <tableColumn id="22" xr3:uid="{00545ECB-8B79-47D1-A9E2-CE69497EE738}" name="TUSD (R$/kW)" dataDxfId="498"/>
    <tableColumn id="23" xr3:uid="{E2ABF29F-E35B-472C-98BD-8364E24B432B}" name="TUSD (R$/MWh)" dataDxfId="497"/>
    <tableColumn id="24" xr3:uid="{73BB6C06-3320-42E5-AF8D-5559698EAAAA}" name="TE (R$/MWh)" dataDxfId="496"/>
    <tableColumn id="25" xr3:uid="{B1665490-D62A-431D-9E24-4804C63A1EED}" name="TUSD (R$/kW) NOVA" dataDxfId="495"/>
    <tableColumn id="26" xr3:uid="{99032D4D-82B4-41CA-A82E-2FF16EE5FCF5}" name="TUSD (R$/MWh) NOVA" dataDxfId="494">
      <calculatedColumnFormula>('TUSD BE'!$AM$48+'TUSD BF'!$AM$48+'TUSD CVA'!$AM$48)*1</calculatedColumnFormula>
    </tableColumn>
    <tableColumn id="27" xr3:uid="{AAA7E7D3-0D6C-475D-AA2F-3CE7F1EFDA56}" name="TE (R$/MWh) NOVA" dataDxfId="493">
      <calculatedColumnFormula>('TE BE'!$AB$39+'TE BF'!$AB$39+'TE CVA'!$AB$39)*1</calculatedColumnFormula>
    </tableColumn>
    <tableColumn id="28" xr3:uid="{FB7BE0A3-6F99-439C-9BBA-036053960B20}" name="SUBSIDIO kW - TV" dataDxfId="492">
      <calculatedColumnFormula>(J2-K2)*V2</calculatedColumnFormula>
    </tableColumn>
    <tableColumn id="29" xr3:uid="{822A8839-62BC-4343-B5F7-97D1A8A24CAA}" name="SUBSIDIO MWh - TV" dataDxfId="491">
      <calculatedColumnFormula>(L2-M2)*W2+(N2-O2)*X2</calculatedColumnFormula>
    </tableColumn>
    <tableColumn id="30" xr3:uid="{ED2ECDDC-BFBA-4F58-8C11-BD93EFFFEA31}" name="SUBSIDIO kW - TN" dataDxfId="490">
      <calculatedColumnFormula>(J2-K2)*Y2</calculatedColumnFormula>
    </tableColumn>
    <tableColumn id="31" xr3:uid="{1A7B7497-122A-45D4-B753-F8E237B71992}" name="SUBSIDIO MWh - TN" dataDxfId="489">
      <calculatedColumnFormula>(L2-M2)*Z2+(N2-O2)*AA2</calculatedColumnFormula>
    </tableColumn>
    <tableColumn id="32" xr3:uid="{21831D7D-6A5D-474A-98B1-5006A2E560C9}" name="TIPO" dataDxfId="48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FB6B38-759E-4D48-987F-EF87B33E1166}" name="TabelaFin" displayName="TabelaFin" ref="B3:AT50" tableType="queryTable" totalsRowShown="0" headerRowDxfId="101" dataDxfId="100" headerRowBorderDxfId="148" tableBorderDxfId="149" totalsRowBorderDxfId="147">
  <autoFilter ref="B3:AT50" xr:uid="{5BFB6B38-759E-4D48-987F-EF87B33E1166}"/>
  <sortState xmlns:xlrd2="http://schemas.microsoft.com/office/spreadsheetml/2017/richdata2" ref="B4:AT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5">
    <tableColumn id="46" xr3:uid="{41F2044B-0B13-463D-B4A1-E9259AC82471}" uniqueName="46" name="SUBGRUPO" queryTableFieldId="1" dataDxfId="146"/>
    <tableColumn id="47" xr3:uid="{B973E34B-11B7-4B2F-8B8D-508DF6E952DC}" uniqueName="47" name="MODALIDADE" queryTableFieldId="2" dataDxfId="145"/>
    <tableColumn id="48" xr3:uid="{4758D781-DB78-408F-BBDF-837698A31425}" uniqueName="48" name="CLASSE" queryTableFieldId="3" dataDxfId="144"/>
    <tableColumn id="49" xr3:uid="{8125117F-EAB5-405B-B48C-792895775811}" uniqueName="49" name="SUBCLASSE" queryTableFieldId="4" dataDxfId="143"/>
    <tableColumn id="50" xr3:uid="{1971F8C4-F8AB-45E8-A04D-D1435CED9019}" uniqueName="50" name="DETALHE" queryTableFieldId="5" dataDxfId="142"/>
    <tableColumn id="51" xr3:uid="{D7676B4A-0E07-44E3-AFC0-ABB3357BD570}" uniqueName="51" name="POSTO" queryTableFieldId="6" dataDxfId="141"/>
    <tableColumn id="52" xr3:uid="{C3C7B2A3-D0E3-4729-9449-17F115D0CAE0}" uniqueName="52" name="UNIDADE" queryTableFieldId="7" dataDxfId="140"/>
    <tableColumn id="53" xr3:uid="{C4560F77-2BB4-4785-8797-A22B96C30FAE}" uniqueName="53" name="ACESSANTE" queryTableFieldId="8" dataDxfId="139"/>
    <tableColumn id="54" xr3:uid="{201F1CDF-8342-4566-88D2-D5EB87A6A1A8}" uniqueName="54" name="Total TUSD" queryTableFieldId="9" dataDxfId="138"/>
    <tableColumn id="55" xr3:uid="{62B9F57C-A05E-483D-9A09-5124BFA03A8D}" uniqueName="55" name="Total TE" queryTableFieldId="10" dataDxfId="137"/>
    <tableColumn id="56" xr3:uid="{2D2134E0-DF71-43E0-87A6-7B93AAE7A335}" uniqueName="56" name="TUSD_CDE_COVID" queryTableFieldId="11" dataDxfId="136"/>
    <tableColumn id="57" xr3:uid="{50A79800-1701-4CA2-92EC-2618B41E8A28}" uniqueName="57" name="TUSD_TFSEE" queryTableFieldId="12" dataDxfId="135"/>
    <tableColumn id="58" xr3:uid="{494883D5-9FD7-4B79-B2EE-09600945049A}" uniqueName="58" name="TUSD_PeD" queryTableFieldId="13" dataDxfId="134"/>
    <tableColumn id="59" xr3:uid="{8BC1126E-AB50-469E-ABB0-49E6B54F140C}" uniqueName="59" name="TUSD_ONS" queryTableFieldId="14" dataDxfId="133"/>
    <tableColumn id="60" xr3:uid="{69ED5031-7242-4770-8D71-EE4F7D8A5D80}" uniqueName="60" name="TUSD_CCC" queryTableFieldId="15" dataDxfId="132"/>
    <tableColumn id="61" xr3:uid="{9C575DD7-22F1-49EE-BAC8-78B4BADA89BB}" uniqueName="61" name="TUSD_CDE" queryTableFieldId="16" dataDxfId="131"/>
    <tableColumn id="62" xr3:uid="{AC5942E8-285D-4B9A-94EF-B62200A7A4CC}" uniqueName="62" name="TUSD_PROINFA" queryTableFieldId="17" dataDxfId="130"/>
    <tableColumn id="63" xr3:uid="{599C8A4C-92CA-4E5B-A375-8578CEF39E1F}" uniqueName="63" name="Liminar1" queryTableFieldId="18" dataDxfId="129"/>
    <tableColumn id="64" xr3:uid="{570C3C4E-EB2F-4964-B700-C2F1CA9EE360}" uniqueName="64" name="TUSD_RB" queryTableFieldId="19" dataDxfId="128"/>
    <tableColumn id="65" xr3:uid="{8D91BD99-CF63-46B3-B152-1D37353BE509}" uniqueName="65" name="TUSD_FR" queryTableFieldId="20" dataDxfId="127"/>
    <tableColumn id="66" xr3:uid="{698F848B-AAFC-4BF1-B135-D4435B79CCE6}" uniqueName="66" name="TUSD_CCT" queryTableFieldId="21" dataDxfId="126"/>
    <tableColumn id="67" xr3:uid="{8EE46E85-E84E-4481-ACB9-447C54CB05A7}" uniqueName="67" name="TUSD_CCD" queryTableFieldId="22" dataDxfId="125"/>
    <tableColumn id="68" xr3:uid="{38CDA3FC-C839-498F-9CA2-79F58017A67E}" uniqueName="68" name="TUSD_CUSD" queryTableFieldId="23" dataDxfId="124"/>
    <tableColumn id="69" xr3:uid="{F87B9511-6DBC-4C03-A66D-60A56041AA12}" uniqueName="69" name="TUSDG_T" queryTableFieldId="24" dataDxfId="123"/>
    <tableColumn id="70" xr3:uid="{9337DCE9-20A6-4B81-8C65-E07683E15264}" uniqueName="70" name="TUSDG_ONS" queryTableFieldId="25" dataDxfId="122"/>
    <tableColumn id="71" xr3:uid="{743EB915-D45A-4DCF-A6F5-B1D6C24A8288}" uniqueName="71" name="TUSD_FioB" queryTableFieldId="26" dataDxfId="121"/>
    <tableColumn id="72" xr3:uid="{2182BE5C-5773-4DFB-8BB2-F58BCFF0B7B5}" uniqueName="72" name="TUSD Subsidio" queryTableFieldId="27" dataDxfId="120"/>
    <tableColumn id="73" xr3:uid="{E09F3C37-2D61-4373-97C8-EC9B25A25105}" uniqueName="73" name="TUSD BENEFICIO_L14299" queryTableFieldId="28" dataDxfId="119"/>
    <tableColumn id="74" xr3:uid="{5C15BCB5-D0F9-4799-90C8-66F0D1A511E8}" uniqueName="74" name="TUSD Outros" queryTableFieldId="29" dataDxfId="118"/>
    <tableColumn id="75" xr3:uid="{51DA635A-DFA4-4D6B-8221-379E1C5C1C09}" uniqueName="75" name="TUSD_PT" queryTableFieldId="30" dataDxfId="117"/>
    <tableColumn id="76" xr3:uid="{8488721A-B1BF-45B4-9AC2-949138706276}" uniqueName="76" name="TUSD_Per_RB_D" queryTableFieldId="31" dataDxfId="116"/>
    <tableColumn id="77" xr3:uid="{334CCD26-FDE7-497F-B303-78DDB3BF193F}" uniqueName="77" name="TUSD_PNT" queryTableFieldId="32" dataDxfId="115"/>
    <tableColumn id="78" xr3:uid="{3F1A395F-0ACB-472D-A722-373F8E380343}" uniqueName="78" name="TUSD_RI" queryTableFieldId="33" dataDxfId="114"/>
    <tableColumn id="79" xr3:uid="{46E48879-88DB-4DB9-B9F3-E08463BF48EF}" uniqueName="79" name="TE_CDE_COVID" queryTableFieldId="34" dataDxfId="113"/>
    <tableColumn id="80" xr3:uid="{32D6A86D-F3AC-49E2-B8A3-0A54767411F3}" uniqueName="80" name="TE_CDE_ELET" queryTableFieldId="35" dataDxfId="112"/>
    <tableColumn id="81" xr3:uid="{1280BD42-F47C-4357-AFBD-68C17663E9DB}" uniqueName="81" name="TE_PeD" queryTableFieldId="36" dataDxfId="111"/>
    <tableColumn id="82" xr3:uid="{EAF93259-6FCB-49CA-9F2C-292A740062C8}" uniqueName="82" name="TE_ESSERR" queryTableFieldId="37" dataDxfId="110"/>
    <tableColumn id="83" xr3:uid="{2FE4C43A-67A9-4476-919E-DA10141F1782}" uniqueName="83" name="TE_CFURH" queryTableFieldId="38" dataDxfId="109"/>
    <tableColumn id="84" xr3:uid="{9D909881-8B53-4B8D-B79A-0C94ABB083B8}" uniqueName="84" name="TE_ENERGIA" queryTableFieldId="39" dataDxfId="108"/>
    <tableColumn id="85" xr3:uid="{C738EC14-0D48-4AE3-88A2-F24C46B1AA9C}" uniqueName="85" name="TE_TRANSPORTE_ITAIPU" queryTableFieldId="40" dataDxfId="107"/>
    <tableColumn id="86" xr3:uid="{18BC56F1-7FA2-4113-B4CB-4CD4431D6675}" uniqueName="86" name="TE_TUST_ITAIPU" queryTableFieldId="41" dataDxfId="106"/>
    <tableColumn id="87" xr3:uid="{3394AE57-2A09-44A9-832E-856A565F9C41}" uniqueName="87" name="TE_TUST_CI" queryTableFieldId="42" dataDxfId="105"/>
    <tableColumn id="88" xr3:uid="{D7B3746D-9944-451A-8B0D-49979A817E95}" uniqueName="88" name="TE Subsidio" queryTableFieldId="43" dataDxfId="104"/>
    <tableColumn id="89" xr3:uid="{DE0B3EE4-9F28-4328-82A1-69C6C4D4CFE0}" uniqueName="89" name="TE BENEFICIO_L14299" queryTableFieldId="44" dataDxfId="103"/>
    <tableColumn id="90" xr3:uid="{C99BDC57-CAA1-4557-8681-26F2950939F7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18F1A9-C560-40EA-856C-4092DB067A61}" name="TabelaEc" displayName="TabelaEc" ref="B3:AT50" tableType="queryTable" totalsRowShown="0" headerRowDxfId="51" dataDxfId="50" headerRowBorderDxfId="98" tableBorderDxfId="99" totalsRowBorderDxfId="97">
  <autoFilter ref="B3:AT50" xr:uid="{3B18F1A9-C560-40EA-856C-4092DB067A61}"/>
  <sortState xmlns:xlrd2="http://schemas.microsoft.com/office/spreadsheetml/2017/richdata2" ref="B4:AT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5">
    <tableColumn id="46" xr3:uid="{180344A3-C3FB-473C-BD79-452135126D7C}" uniqueName="46" name="SUBGRUPO" queryTableFieldId="1" dataDxfId="96"/>
    <tableColumn id="47" xr3:uid="{F0F249CE-D7CE-4A3B-9C71-64B57DF6A175}" uniqueName="47" name="MODALIDADE" queryTableFieldId="2" dataDxfId="95"/>
    <tableColumn id="48" xr3:uid="{2424F298-5229-45D9-9CF5-9288AB633D4E}" uniqueName="48" name="CLASSE" queryTableFieldId="3" dataDxfId="94"/>
    <tableColumn id="49" xr3:uid="{C8F3059C-84F0-4BB5-B646-1258AB68D19F}" uniqueName="49" name="SUBCLASSE" queryTableFieldId="4" dataDxfId="93"/>
    <tableColumn id="50" xr3:uid="{6BF66DAD-7762-49D5-9019-97FD7C50A321}" uniqueName="50" name="DETALHE" queryTableFieldId="5" dataDxfId="92"/>
    <tableColumn id="51" xr3:uid="{2E29F796-5DA3-402C-A523-97D7BC3554AC}" uniqueName="51" name="POSTO" queryTableFieldId="6" dataDxfId="91"/>
    <tableColumn id="52" xr3:uid="{6142323B-AEFE-4A09-8312-841B9B41DD24}" uniqueName="52" name="UNIDADE" queryTableFieldId="7" dataDxfId="90"/>
    <tableColumn id="53" xr3:uid="{FAFBD331-8C02-4971-AF2E-5ED3D61F2AF3}" uniqueName="53" name="ACESSANTE" queryTableFieldId="8" dataDxfId="89"/>
    <tableColumn id="54" xr3:uid="{555CA18D-6CCA-48B1-A596-F2752B968697}" uniqueName="54" name="Total TUSD" queryTableFieldId="9" dataDxfId="88"/>
    <tableColumn id="55" xr3:uid="{EA310E3E-BA45-4BDC-8016-3D718113860A}" uniqueName="55" name="Total TE" queryTableFieldId="10" dataDxfId="87"/>
    <tableColumn id="56" xr3:uid="{15544F56-1ADD-4DBF-905A-035FA77427B9}" uniqueName="56" name="TUSD_CDE_COVID" queryTableFieldId="11" dataDxfId="86"/>
    <tableColumn id="57" xr3:uid="{B8E17C09-FFEC-4BF4-BC63-6ED08BF14C66}" uniqueName="57" name="TUSD_TFSEE" queryTableFieldId="12" dataDxfId="85"/>
    <tableColumn id="58" xr3:uid="{354E72B9-BA74-4801-A827-E7D80FD3E506}" uniqueName="58" name="TUSD_PeD" queryTableFieldId="13" dataDxfId="84"/>
    <tableColumn id="59" xr3:uid="{18F83529-70A0-4BED-9B3C-BF4F7AFC3DDD}" uniqueName="59" name="TUSD_ONS" queryTableFieldId="14" dataDxfId="83"/>
    <tableColumn id="60" xr3:uid="{1CB91BC7-A1D1-47C8-BAEC-33D01BFD4BFE}" uniqueName="60" name="TUSD_CCC" queryTableFieldId="15" dataDxfId="82"/>
    <tableColumn id="61" xr3:uid="{F3CBA3D7-51E8-443B-B187-8A0755FEE0C1}" uniqueName="61" name="TUSD_CDE" queryTableFieldId="16" dataDxfId="81"/>
    <tableColumn id="62" xr3:uid="{A58C91B0-D75A-4997-950A-0AD8F270CCA0}" uniqueName="62" name="TUSD_PROINFA" queryTableFieldId="17" dataDxfId="80"/>
    <tableColumn id="63" xr3:uid="{A985A680-B394-4661-BAFC-134646352AF5}" uniqueName="63" name="Liminar1" queryTableFieldId="18" dataDxfId="79"/>
    <tableColumn id="64" xr3:uid="{B9F3737F-5D94-4216-9030-8627136AE361}" uniqueName="64" name="TUSD_RB" queryTableFieldId="19" dataDxfId="78"/>
    <tableColumn id="65" xr3:uid="{5E531930-045E-42A0-AC2F-6AE3A8E55965}" uniqueName="65" name="TUSD_FR" queryTableFieldId="20" dataDxfId="77"/>
    <tableColumn id="66" xr3:uid="{6FA4EFC7-9382-45D5-8042-8FB184E1C984}" uniqueName="66" name="TUSD_CCT" queryTableFieldId="21" dataDxfId="76"/>
    <tableColumn id="67" xr3:uid="{984B6994-7830-494A-98AA-4D9ED004F478}" uniqueName="67" name="TUSD_CCD" queryTableFieldId="22" dataDxfId="75"/>
    <tableColumn id="68" xr3:uid="{9CC3AE5B-059C-4A72-A12C-84C1F6784870}" uniqueName="68" name="TUSD_CUSD" queryTableFieldId="23" dataDxfId="74"/>
    <tableColumn id="69" xr3:uid="{B4D3317E-2F03-4BA2-B20C-0E75EFCF7EF2}" uniqueName="69" name="TUSDG_T" queryTableFieldId="24" dataDxfId="73"/>
    <tableColumn id="70" xr3:uid="{07AFE353-D35E-4651-8051-0FD404E51AEB}" uniqueName="70" name="TUSDG_ONS" queryTableFieldId="25" dataDxfId="72"/>
    <tableColumn id="71" xr3:uid="{27F315DB-3A81-458F-8C25-74FA60F0DD84}" uniqueName="71" name="TUSD_FioB" queryTableFieldId="26" dataDxfId="71"/>
    <tableColumn id="72" xr3:uid="{21408668-3963-4ACA-85A3-2022E9A659C2}" uniqueName="72" name="TUSD Subsidio" queryTableFieldId="27" dataDxfId="70"/>
    <tableColumn id="73" xr3:uid="{AF5FFC8B-13CB-485E-8432-217D15A0ECC8}" uniqueName="73" name="TUSD BENEFICIO_L14299" queryTableFieldId="28" dataDxfId="69"/>
    <tableColumn id="74" xr3:uid="{C03723CB-591B-4F12-BB00-C4C95881BF5B}" uniqueName="74" name="TUSD Outros" queryTableFieldId="29" dataDxfId="68"/>
    <tableColumn id="75" xr3:uid="{5E03E100-A9A6-4687-BC08-AF570A62DBF0}" uniqueName="75" name="TUSD_PT" queryTableFieldId="30" dataDxfId="67"/>
    <tableColumn id="76" xr3:uid="{A1A0ECC3-E34D-4343-A92A-1517F6146C7E}" uniqueName="76" name="TUSD_Per_RB_D" queryTableFieldId="31" dataDxfId="66"/>
    <tableColumn id="77" xr3:uid="{6EFE1770-3A6D-4086-874E-68AB385A3F81}" uniqueName="77" name="TUSD_PNT" queryTableFieldId="32" dataDxfId="65"/>
    <tableColumn id="78" xr3:uid="{7A3AF36C-1D04-48E3-9FED-5D061B883B19}" uniqueName="78" name="TUSD_RI" queryTableFieldId="33" dataDxfId="64"/>
    <tableColumn id="79" xr3:uid="{3EB3F46D-1382-49E5-9A47-D3E8B6ED16AD}" uniqueName="79" name="TE_CDE_COVID" queryTableFieldId="34" dataDxfId="63"/>
    <tableColumn id="80" xr3:uid="{2F9E67B2-6BAA-49A7-A1F6-FE48A54434DD}" uniqueName="80" name="TE_CDE_ELET" queryTableFieldId="35" dataDxfId="62"/>
    <tableColumn id="81" xr3:uid="{CF6C4873-CF6C-4BAA-ABD1-C099485E8EE7}" uniqueName="81" name="TE_PeD" queryTableFieldId="36" dataDxfId="61"/>
    <tableColumn id="82" xr3:uid="{D007FE01-BCCE-4E0A-B066-49FAEF9D3546}" uniqueName="82" name="TE_ESSERR" queryTableFieldId="37" dataDxfId="60"/>
    <tableColumn id="83" xr3:uid="{F382017B-3A55-49DC-B6B4-6C6FD6F8D863}" uniqueName="83" name="TE_CFURH" queryTableFieldId="38" dataDxfId="59"/>
    <tableColumn id="84" xr3:uid="{BB03476F-9BE8-45C6-AC2D-8DE8C963B10D}" uniqueName="84" name="TE_ENERGIA" queryTableFieldId="39" dataDxfId="58"/>
    <tableColumn id="85" xr3:uid="{0D93E0EC-9BB9-4D1C-B842-F1EAE912A9EA}" uniqueName="85" name="TE_TRANSPORTE_ITAIPU" queryTableFieldId="40" dataDxfId="57"/>
    <tableColumn id="86" xr3:uid="{B34E691F-60B8-491C-AE24-DAF5CC3E2E91}" uniqueName="86" name="TE_TUST_ITAIPU" queryTableFieldId="41" dataDxfId="56"/>
    <tableColumn id="87" xr3:uid="{317E9E4F-EE8C-4404-955C-0105F96EFE44}" uniqueName="87" name="TE_TUST_CI" queryTableFieldId="42" dataDxfId="55"/>
    <tableColumn id="88" xr3:uid="{129A7AC3-C2BA-43DE-8D28-C2CEB4259C7D}" uniqueName="88" name="TE Subsidio" queryTableFieldId="43" dataDxfId="54"/>
    <tableColumn id="89" xr3:uid="{C762248D-2143-4718-98BC-48E7E2BDAED4}" uniqueName="89" name="TE BENEFICIO_L14299" queryTableFieldId="44" dataDxfId="53"/>
    <tableColumn id="90" xr3:uid="{8A7E026C-37EB-47AC-8572-E576E7DD8142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7123B1-5592-43D3-9DFC-36D74F26F49E}" name="TabelaCVA" displayName="TabelaCVA" ref="B3:AT50" tableType="queryTable" totalsRowShown="0" headerRowDxfId="1" dataDxfId="0" headerRowBorderDxfId="48" tableBorderDxfId="49" totalsRowBorderDxfId="47">
  <autoFilter ref="B3:AT50" xr:uid="{647123B1-5592-43D3-9DFC-36D74F26F49E}"/>
  <sortState xmlns:xlrd2="http://schemas.microsoft.com/office/spreadsheetml/2017/richdata2" ref="B4:AT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5">
    <tableColumn id="46" xr3:uid="{16693489-FE74-43CF-82B1-16071196C1FC}" uniqueName="46" name="SUBGRUPO" queryTableFieldId="1" dataDxfId="46"/>
    <tableColumn id="47" xr3:uid="{9BE6FBCA-67AA-460E-9D82-17A4A817460A}" uniqueName="47" name="MODALIDADE" queryTableFieldId="2" dataDxfId="45"/>
    <tableColumn id="48" xr3:uid="{4489C46C-4921-4EF9-B8D8-A0DDBD3BFECC}" uniqueName="48" name="CLASSE" queryTableFieldId="3" dataDxfId="44"/>
    <tableColumn id="49" xr3:uid="{C9B18036-E3FF-46E4-B122-BE1280031483}" uniqueName="49" name="SUBCLASSE" queryTableFieldId="4" dataDxfId="43"/>
    <tableColumn id="50" xr3:uid="{D5EDCE73-DDB4-4D4E-8B7E-87B2CCD7717F}" uniqueName="50" name="DETALHE" queryTableFieldId="5" dataDxfId="42"/>
    <tableColumn id="51" xr3:uid="{5087B772-645A-4027-97F0-AF1F874B3C8C}" uniqueName="51" name="POSTO" queryTableFieldId="6" dataDxfId="41"/>
    <tableColumn id="52" xr3:uid="{DF3A973B-1C57-4C16-B3CA-DC85017C4BDB}" uniqueName="52" name="UNIDADE" queryTableFieldId="7" dataDxfId="40"/>
    <tableColumn id="53" xr3:uid="{C08E30BF-D036-4086-B479-7B6485590AB2}" uniqueName="53" name="ACESSANTE" queryTableFieldId="8" dataDxfId="39"/>
    <tableColumn id="54" xr3:uid="{70234EB9-1AE0-4454-A0B9-C2256FDD3FDB}" uniqueName="54" name="Total TUSD" queryTableFieldId="9" dataDxfId="38"/>
    <tableColumn id="55" xr3:uid="{08C20B0F-5222-4873-ABD6-727A1E802711}" uniqueName="55" name="Total TE" queryTableFieldId="10" dataDxfId="37"/>
    <tableColumn id="56" xr3:uid="{C8EF7D25-4417-4D19-8B69-79AF3A697B62}" uniqueName="56" name="TUSD_CDE_COVID" queryTableFieldId="11" dataDxfId="36"/>
    <tableColumn id="57" xr3:uid="{82B68775-CAFF-49B6-86D1-99212A5BA434}" uniqueName="57" name="TUSD_TFSEE" queryTableFieldId="12" dataDxfId="35"/>
    <tableColumn id="58" xr3:uid="{878F09AB-CA5E-4194-8673-0D8FAEBB7CDF}" uniqueName="58" name="TUSD_PeD" queryTableFieldId="13" dataDxfId="34"/>
    <tableColumn id="59" xr3:uid="{692ACE09-FE48-467F-9C6D-400D0E1DB383}" uniqueName="59" name="TUSD_ONS" queryTableFieldId="14" dataDxfId="33"/>
    <tableColumn id="60" xr3:uid="{7830B86B-97CC-4021-BA1F-3C643DA1E47C}" uniqueName="60" name="TUSD_CCC" queryTableFieldId="15" dataDxfId="32"/>
    <tableColumn id="61" xr3:uid="{A25E8FCD-7128-4282-A4E4-70E542A5B5F6}" uniqueName="61" name="TUSD_CDE" queryTableFieldId="16" dataDxfId="31"/>
    <tableColumn id="62" xr3:uid="{7B25AFC8-A11B-4690-B08D-CD57B577F8A4}" uniqueName="62" name="TUSD_PROINFA" queryTableFieldId="17" dataDxfId="30"/>
    <tableColumn id="63" xr3:uid="{F96C25BE-02F8-488A-B9BB-E467E9B82E92}" uniqueName="63" name="Liminar1" queryTableFieldId="18" dataDxfId="29"/>
    <tableColumn id="64" xr3:uid="{A47D5574-11C1-4807-9F53-2587469C41AD}" uniqueName="64" name="TUSD_RB" queryTableFieldId="19" dataDxfId="28"/>
    <tableColumn id="65" xr3:uid="{B3798604-81B6-46BA-AE51-8B15ADCDAE92}" uniqueName="65" name="TUSD_FR" queryTableFieldId="20" dataDxfId="27"/>
    <tableColumn id="66" xr3:uid="{766061D9-AE2F-4E42-8B18-BD92AE098B4C}" uniqueName="66" name="TUSD_CCT" queryTableFieldId="21" dataDxfId="26"/>
    <tableColumn id="67" xr3:uid="{01D94DCF-70B1-4153-AC3D-3689DC35C311}" uniqueName="67" name="TUSD_CCD" queryTableFieldId="22" dataDxfId="25"/>
    <tableColumn id="68" xr3:uid="{C4E0F91E-C1AE-4DFE-93B9-71E9A3E173B2}" uniqueName="68" name="TUSD_CUSD" queryTableFieldId="23" dataDxfId="24"/>
    <tableColumn id="69" xr3:uid="{616FF37D-8A53-463C-93A8-9E3B2D96DF68}" uniqueName="69" name="TUSDG_T" queryTableFieldId="24" dataDxfId="23"/>
    <tableColumn id="70" xr3:uid="{EB884B6F-AB6E-42BB-9A3B-90A1E79E7949}" uniqueName="70" name="TUSDG_ONS" queryTableFieldId="25" dataDxfId="22"/>
    <tableColumn id="71" xr3:uid="{4D58B5F7-04CA-436C-8877-9B0AF0E3838A}" uniqueName="71" name="TUSD_FioB" queryTableFieldId="26" dataDxfId="21"/>
    <tableColumn id="72" xr3:uid="{87D8F972-8B4B-4A81-89C7-CAD371A067D3}" uniqueName="72" name="TUSD Subsidio" queryTableFieldId="27" dataDxfId="20"/>
    <tableColumn id="73" xr3:uid="{53FE0FA9-0591-426C-BA2B-AB53885018C6}" uniqueName="73" name="TUSD BENEFICIO_L14299" queryTableFieldId="28" dataDxfId="19"/>
    <tableColumn id="74" xr3:uid="{605FB8AB-66FF-4B76-974C-B6DF97A60594}" uniqueName="74" name="TUSD Outros" queryTableFieldId="29" dataDxfId="18"/>
    <tableColumn id="75" xr3:uid="{545333F6-1F41-4E59-8542-553509B19FDC}" uniqueName="75" name="TUSD_PT" queryTableFieldId="30" dataDxfId="17"/>
    <tableColumn id="76" xr3:uid="{A30364EA-62F2-47FF-A03C-4774FE55FA99}" uniqueName="76" name="TUSD_Per_RB_D" queryTableFieldId="31" dataDxfId="16"/>
    <tableColumn id="77" xr3:uid="{9AEB6087-1C71-4DC8-98B5-4C6271FBCADB}" uniqueName="77" name="TUSD_PNT" queryTableFieldId="32" dataDxfId="15"/>
    <tableColumn id="78" xr3:uid="{BAAEC333-6CC8-4C8F-832A-E7C9C3A57CA3}" uniqueName="78" name="TUSD_RI" queryTableFieldId="33" dataDxfId="14"/>
    <tableColumn id="79" xr3:uid="{A17E584D-EE6C-4E26-B6D5-EC1751F7E72B}" uniqueName="79" name="TE_CDE_COVID" queryTableFieldId="34" dataDxfId="13"/>
    <tableColumn id="80" xr3:uid="{0EDB11D5-29AB-4DAB-AB62-75774069E07A}" uniqueName="80" name="TE_CDE_ELET" queryTableFieldId="35" dataDxfId="12"/>
    <tableColumn id="81" xr3:uid="{7F03317A-1D5D-4AC6-83E0-352C624A13F8}" uniqueName="81" name="TE_PeD" queryTableFieldId="36" dataDxfId="11"/>
    <tableColumn id="82" xr3:uid="{6D5CCB31-5B3B-44DD-B579-959DB892C85D}" uniqueName="82" name="TE_ESSERR" queryTableFieldId="37" dataDxfId="10"/>
    <tableColumn id="83" xr3:uid="{9352A3AA-50E4-4C4E-9F1C-30CD815C0E56}" uniqueName="83" name="TE_CFURH" queryTableFieldId="38" dataDxfId="9"/>
    <tableColumn id="84" xr3:uid="{C9DD12E1-A2AE-459B-9E32-53BFE411FAAD}" uniqueName="84" name="TE_ENERGIA" queryTableFieldId="39" dataDxfId="8"/>
    <tableColumn id="85" xr3:uid="{73A7AF05-A871-4184-9EE6-180E36B8870E}" uniqueName="85" name="TE_TRANSPORTE_ITAIPU" queryTableFieldId="40" dataDxfId="7"/>
    <tableColumn id="86" xr3:uid="{71BA66C2-A275-46B5-B349-AD8C55D21BBC}" uniqueName="86" name="TE_TUST_ITAIPU" queryTableFieldId="41" dataDxfId="6"/>
    <tableColumn id="87" xr3:uid="{AB8E1D8D-F2D1-4A27-BCEC-30E2FF1D81D0}" uniqueName="87" name="TE_TUST_CI" queryTableFieldId="42" dataDxfId="5"/>
    <tableColumn id="88" xr3:uid="{FD6A7F57-711F-428E-84FA-C1D15733596F}" uniqueName="88" name="TE Subsidio" queryTableFieldId="43" dataDxfId="4"/>
    <tableColumn id="89" xr3:uid="{BB0B7C3E-E4BC-4AA1-9F74-AF0F5BF0EB50}" uniqueName="89" name="TE BENEFICIO_L14299" queryTableFieldId="44" dataDxfId="3"/>
    <tableColumn id="90" xr3:uid="{A5B4A936-7901-4C0D-BFDB-0E3796199A13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5D15-3330-475A-B607-6789A519A9D8}">
  <dimension ref="A1:W418"/>
  <sheetViews>
    <sheetView showGridLines="0" topLeftCell="J404" workbookViewId="0">
      <selection activeCell="T419" sqref="T419"/>
    </sheetView>
  </sheetViews>
  <sheetFormatPr defaultRowHeight="11.25" customHeight="1" x14ac:dyDescent="0.3"/>
  <cols>
    <col min="1" max="1" width="18" style="4" bestFit="1" customWidth="1"/>
    <col min="2" max="2" width="7.6640625" style="4" bestFit="1" customWidth="1"/>
    <col min="3" max="3" width="9.21875" style="4" bestFit="1" customWidth="1"/>
    <col min="4" max="4" width="12.6640625" style="4" bestFit="1" customWidth="1"/>
    <col min="5" max="5" width="23.109375" style="4" bestFit="1" customWidth="1"/>
    <col min="6" max="8" width="9.5546875" style="4" bestFit="1" customWidth="1"/>
    <col min="9" max="9" width="7.88671875" style="5" bestFit="1" customWidth="1"/>
    <col min="10" max="12" width="6.33203125" style="6" bestFit="1" customWidth="1"/>
    <col min="13" max="13" width="7.6640625" style="6" bestFit="1" customWidth="1"/>
    <col min="14" max="16" width="6.33203125" style="6" bestFit="1" customWidth="1"/>
    <col min="17" max="17" width="6" style="4" bestFit="1" customWidth="1"/>
    <col min="18" max="18" width="8" style="4" bestFit="1" customWidth="1"/>
    <col min="19" max="19" width="72.33203125" style="4" bestFit="1" customWidth="1"/>
    <col min="20" max="20" width="77.5546875" style="4" bestFit="1" customWidth="1"/>
    <col min="21" max="21" width="17.44140625" style="4" bestFit="1" customWidth="1"/>
    <col min="22" max="22" width="18.77734375" style="4" bestFit="1" customWidth="1"/>
    <col min="23" max="23" width="16.5546875" style="4" bestFit="1" customWidth="1"/>
    <col min="24" max="16384" width="8.88671875" style="4"/>
  </cols>
  <sheetData>
    <row r="1" spans="1:23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88</v>
      </c>
      <c r="T1" s="1" t="s">
        <v>309</v>
      </c>
      <c r="U1" s="1" t="s">
        <v>18</v>
      </c>
      <c r="V1" s="1" t="s">
        <v>19</v>
      </c>
      <c r="W1" s="1" t="s">
        <v>20</v>
      </c>
    </row>
    <row r="2" spans="1:23" ht="11.25" customHeight="1" x14ac:dyDescent="0.3">
      <c r="A2" s="4" t="s">
        <v>21</v>
      </c>
      <c r="B2" s="4" t="s">
        <v>37</v>
      </c>
      <c r="C2" s="4" t="s">
        <v>41</v>
      </c>
      <c r="D2" s="4" t="s">
        <v>40</v>
      </c>
      <c r="E2" s="4" t="s">
        <v>25</v>
      </c>
      <c r="F2" s="4" t="s">
        <v>25</v>
      </c>
      <c r="G2" s="4" t="s">
        <v>25</v>
      </c>
      <c r="H2" s="4" t="s">
        <v>34</v>
      </c>
      <c r="I2" s="5">
        <v>44440</v>
      </c>
      <c r="J2" s="6">
        <v>555</v>
      </c>
      <c r="K2" s="6">
        <v>555</v>
      </c>
      <c r="L2" s="6">
        <v>288.81400000000002</v>
      </c>
      <c r="M2" s="6">
        <v>288.81400000000002</v>
      </c>
      <c r="N2" s="6">
        <v>288.81400000000002</v>
      </c>
      <c r="O2" s="6">
        <v>288.81400000000002</v>
      </c>
      <c r="P2" s="6">
        <v>0</v>
      </c>
      <c r="Q2" s="4" t="s">
        <v>26</v>
      </c>
      <c r="R2" s="4">
        <v>0</v>
      </c>
      <c r="S2" s="4" t="s">
        <v>89</v>
      </c>
      <c r="T2" s="4" t="s">
        <v>310</v>
      </c>
      <c r="U2" s="4">
        <v>4</v>
      </c>
      <c r="V2" s="4">
        <v>6</v>
      </c>
      <c r="W2" s="4">
        <v>72</v>
      </c>
    </row>
    <row r="3" spans="1:23" ht="11.25" customHeight="1" x14ac:dyDescent="0.3">
      <c r="A3" s="4" t="s">
        <v>21</v>
      </c>
      <c r="B3" s="4" t="s">
        <v>37</v>
      </c>
      <c r="C3" s="4" t="s">
        <v>41</v>
      </c>
      <c r="D3" s="4" t="s">
        <v>40</v>
      </c>
      <c r="E3" s="4" t="s">
        <v>25</v>
      </c>
      <c r="F3" s="4" t="s">
        <v>25</v>
      </c>
      <c r="G3" s="4" t="s">
        <v>25</v>
      </c>
      <c r="H3" s="4" t="s">
        <v>34</v>
      </c>
      <c r="I3" s="5">
        <v>44470</v>
      </c>
      <c r="J3" s="6">
        <v>541</v>
      </c>
      <c r="K3" s="6">
        <v>541</v>
      </c>
      <c r="L3" s="6">
        <v>313.89100000000002</v>
      </c>
      <c r="M3" s="6">
        <v>313.89100000000002</v>
      </c>
      <c r="N3" s="6">
        <v>313.89100000000002</v>
      </c>
      <c r="O3" s="6">
        <v>313.89100000000002</v>
      </c>
      <c r="P3" s="6">
        <v>0</v>
      </c>
      <c r="Q3" s="4" t="s">
        <v>26</v>
      </c>
      <c r="R3" s="4">
        <v>0</v>
      </c>
      <c r="S3" s="4" t="s">
        <v>90</v>
      </c>
      <c r="T3" s="4" t="s">
        <v>311</v>
      </c>
      <c r="U3" s="4">
        <v>4</v>
      </c>
      <c r="V3" s="4">
        <v>6</v>
      </c>
      <c r="W3" s="4">
        <v>72</v>
      </c>
    </row>
    <row r="4" spans="1:23" ht="11.25" customHeight="1" x14ac:dyDescent="0.3">
      <c r="A4" s="4" t="s">
        <v>21</v>
      </c>
      <c r="B4" s="4" t="s">
        <v>37</v>
      </c>
      <c r="C4" s="4" t="s">
        <v>41</v>
      </c>
      <c r="D4" s="4" t="s">
        <v>40</v>
      </c>
      <c r="E4" s="4" t="s">
        <v>25</v>
      </c>
      <c r="F4" s="4" t="s">
        <v>25</v>
      </c>
      <c r="G4" s="4" t="s">
        <v>25</v>
      </c>
      <c r="H4" s="4" t="s">
        <v>34</v>
      </c>
      <c r="I4" s="5">
        <v>44501</v>
      </c>
      <c r="J4" s="6">
        <v>555</v>
      </c>
      <c r="K4" s="6">
        <v>555</v>
      </c>
      <c r="L4" s="6">
        <v>329.20600000000002</v>
      </c>
      <c r="M4" s="6">
        <v>329.20600000000002</v>
      </c>
      <c r="N4" s="6">
        <v>329.20600000000002</v>
      </c>
      <c r="O4" s="6">
        <v>329.20600000000002</v>
      </c>
      <c r="P4" s="6">
        <v>0</v>
      </c>
      <c r="Q4" s="4" t="s">
        <v>26</v>
      </c>
      <c r="R4" s="4">
        <v>0</v>
      </c>
      <c r="S4" s="4" t="s">
        <v>91</v>
      </c>
      <c r="T4" s="4" t="s">
        <v>312</v>
      </c>
      <c r="U4" s="4">
        <v>4</v>
      </c>
      <c r="V4" s="4">
        <v>6</v>
      </c>
      <c r="W4" s="4">
        <v>72</v>
      </c>
    </row>
    <row r="5" spans="1:23" ht="11.25" customHeight="1" x14ac:dyDescent="0.3">
      <c r="A5" s="4" t="s">
        <v>21</v>
      </c>
      <c r="B5" s="4" t="s">
        <v>37</v>
      </c>
      <c r="C5" s="4" t="s">
        <v>41</v>
      </c>
      <c r="D5" s="4" t="s">
        <v>40</v>
      </c>
      <c r="E5" s="4" t="s">
        <v>25</v>
      </c>
      <c r="F5" s="4" t="s">
        <v>25</v>
      </c>
      <c r="G5" s="4" t="s">
        <v>25</v>
      </c>
      <c r="H5" s="4" t="s">
        <v>34</v>
      </c>
      <c r="I5" s="5">
        <v>44531</v>
      </c>
      <c r="J5" s="6">
        <v>571</v>
      </c>
      <c r="K5" s="6">
        <v>571</v>
      </c>
      <c r="L5" s="6">
        <v>339.89699999999999</v>
      </c>
      <c r="M5" s="6">
        <v>339.89699999999999</v>
      </c>
      <c r="N5" s="6">
        <v>339.89699999999999</v>
      </c>
      <c r="O5" s="6">
        <v>339.89699999999999</v>
      </c>
      <c r="P5" s="6">
        <v>0</v>
      </c>
      <c r="Q5" s="4" t="s">
        <v>26</v>
      </c>
      <c r="R5" s="4">
        <v>0</v>
      </c>
      <c r="S5" s="4" t="s">
        <v>92</v>
      </c>
      <c r="T5" s="4" t="s">
        <v>313</v>
      </c>
      <c r="U5" s="4">
        <v>4</v>
      </c>
      <c r="V5" s="4">
        <v>6</v>
      </c>
      <c r="W5" s="4">
        <v>72</v>
      </c>
    </row>
    <row r="6" spans="1:23" ht="11.25" customHeight="1" x14ac:dyDescent="0.3">
      <c r="A6" s="4" t="s">
        <v>21</v>
      </c>
      <c r="B6" s="4" t="s">
        <v>37</v>
      </c>
      <c r="C6" s="4" t="s">
        <v>41</v>
      </c>
      <c r="D6" s="4" t="s">
        <v>40</v>
      </c>
      <c r="E6" s="4" t="s">
        <v>25</v>
      </c>
      <c r="F6" s="4" t="s">
        <v>25</v>
      </c>
      <c r="G6" s="4" t="s">
        <v>25</v>
      </c>
      <c r="H6" s="4" t="s">
        <v>34</v>
      </c>
      <c r="I6" s="5">
        <v>44562</v>
      </c>
      <c r="J6" s="6">
        <v>579</v>
      </c>
      <c r="K6" s="6">
        <v>579</v>
      </c>
      <c r="L6" s="6">
        <v>338.29199999999997</v>
      </c>
      <c r="M6" s="6">
        <v>338.29199999999997</v>
      </c>
      <c r="N6" s="6">
        <v>338.29199999999997</v>
      </c>
      <c r="O6" s="6">
        <v>338.29199999999997</v>
      </c>
      <c r="P6" s="6">
        <v>0</v>
      </c>
      <c r="Q6" s="4" t="s">
        <v>26</v>
      </c>
      <c r="R6" s="4">
        <v>0</v>
      </c>
      <c r="S6" s="4" t="s">
        <v>93</v>
      </c>
      <c r="T6" s="4" t="s">
        <v>314</v>
      </c>
      <c r="U6" s="4">
        <v>4</v>
      </c>
      <c r="V6" s="4">
        <v>6</v>
      </c>
      <c r="W6" s="4">
        <v>72</v>
      </c>
    </row>
    <row r="7" spans="1:23" ht="11.25" customHeight="1" x14ac:dyDescent="0.3">
      <c r="A7" s="4" t="s">
        <v>21</v>
      </c>
      <c r="B7" s="4" t="s">
        <v>37</v>
      </c>
      <c r="C7" s="4" t="s">
        <v>41</v>
      </c>
      <c r="D7" s="4" t="s">
        <v>40</v>
      </c>
      <c r="E7" s="4" t="s">
        <v>25</v>
      </c>
      <c r="F7" s="4" t="s">
        <v>25</v>
      </c>
      <c r="G7" s="4" t="s">
        <v>25</v>
      </c>
      <c r="H7" s="4" t="s">
        <v>34</v>
      </c>
      <c r="I7" s="5">
        <v>44593</v>
      </c>
      <c r="J7" s="6">
        <v>590</v>
      </c>
      <c r="K7" s="6">
        <v>590</v>
      </c>
      <c r="L7" s="6">
        <v>311.79599999999999</v>
      </c>
      <c r="M7" s="6">
        <v>311.79599999999999</v>
      </c>
      <c r="N7" s="6">
        <v>311.79599999999999</v>
      </c>
      <c r="O7" s="6">
        <v>311.79599999999999</v>
      </c>
      <c r="P7" s="6">
        <v>0</v>
      </c>
      <c r="Q7" s="4" t="s">
        <v>26</v>
      </c>
      <c r="R7" s="4">
        <v>0</v>
      </c>
      <c r="S7" s="4" t="s">
        <v>94</v>
      </c>
      <c r="T7" s="4" t="s">
        <v>315</v>
      </c>
      <c r="U7" s="4">
        <v>4</v>
      </c>
      <c r="V7" s="4">
        <v>6</v>
      </c>
      <c r="W7" s="4">
        <v>72</v>
      </c>
    </row>
    <row r="8" spans="1:23" ht="11.25" customHeight="1" x14ac:dyDescent="0.3">
      <c r="A8" s="4" t="s">
        <v>21</v>
      </c>
      <c r="B8" s="4" t="s">
        <v>37</v>
      </c>
      <c r="C8" s="4" t="s">
        <v>41</v>
      </c>
      <c r="D8" s="4" t="s">
        <v>40</v>
      </c>
      <c r="E8" s="4" t="s">
        <v>25</v>
      </c>
      <c r="F8" s="4" t="s">
        <v>25</v>
      </c>
      <c r="G8" s="4" t="s">
        <v>25</v>
      </c>
      <c r="H8" s="4" t="s">
        <v>34</v>
      </c>
      <c r="I8" s="5">
        <v>44621</v>
      </c>
      <c r="J8" s="6">
        <v>527</v>
      </c>
      <c r="K8" s="6">
        <v>527</v>
      </c>
      <c r="L8" s="6">
        <v>308.38099999999997</v>
      </c>
      <c r="M8" s="6">
        <v>308.38099999999997</v>
      </c>
      <c r="N8" s="6">
        <v>308.38099999999997</v>
      </c>
      <c r="O8" s="6">
        <v>308.38099999999997</v>
      </c>
      <c r="P8" s="6">
        <v>0</v>
      </c>
      <c r="Q8" s="4" t="s">
        <v>26</v>
      </c>
      <c r="R8" s="4">
        <v>0</v>
      </c>
      <c r="S8" s="4" t="s">
        <v>95</v>
      </c>
      <c r="T8" s="4" t="s">
        <v>316</v>
      </c>
      <c r="U8" s="4">
        <v>4</v>
      </c>
      <c r="V8" s="4">
        <v>6</v>
      </c>
      <c r="W8" s="4">
        <v>72</v>
      </c>
    </row>
    <row r="9" spans="1:23" ht="11.25" customHeight="1" x14ac:dyDescent="0.3">
      <c r="A9" s="4" t="s">
        <v>21</v>
      </c>
      <c r="B9" s="4" t="s">
        <v>37</v>
      </c>
      <c r="C9" s="4" t="s">
        <v>41</v>
      </c>
      <c r="D9" s="4" t="s">
        <v>40</v>
      </c>
      <c r="E9" s="4" t="s">
        <v>25</v>
      </c>
      <c r="F9" s="4" t="s">
        <v>25</v>
      </c>
      <c r="G9" s="4" t="s">
        <v>25</v>
      </c>
      <c r="H9" s="4" t="s">
        <v>34</v>
      </c>
      <c r="I9" s="5">
        <v>44652</v>
      </c>
      <c r="J9" s="6">
        <v>527</v>
      </c>
      <c r="K9" s="6">
        <v>527</v>
      </c>
      <c r="L9" s="6">
        <v>283.87799999999999</v>
      </c>
      <c r="M9" s="6">
        <v>283.87799999999999</v>
      </c>
      <c r="N9" s="6">
        <v>283.87799999999999</v>
      </c>
      <c r="O9" s="6">
        <v>283.87799999999999</v>
      </c>
      <c r="P9" s="6">
        <v>0</v>
      </c>
      <c r="Q9" s="4" t="s">
        <v>26</v>
      </c>
      <c r="R9" s="4">
        <v>0</v>
      </c>
      <c r="S9" s="4" t="s">
        <v>96</v>
      </c>
      <c r="T9" s="4" t="s">
        <v>317</v>
      </c>
      <c r="U9" s="4">
        <v>4</v>
      </c>
      <c r="V9" s="4">
        <v>6</v>
      </c>
      <c r="W9" s="4">
        <v>72</v>
      </c>
    </row>
    <row r="10" spans="1:23" ht="11.25" customHeight="1" x14ac:dyDescent="0.3">
      <c r="A10" s="4" t="s">
        <v>21</v>
      </c>
      <c r="B10" s="4" t="s">
        <v>37</v>
      </c>
      <c r="C10" s="4" t="s">
        <v>41</v>
      </c>
      <c r="D10" s="4" t="s">
        <v>40</v>
      </c>
      <c r="E10" s="4" t="s">
        <v>25</v>
      </c>
      <c r="F10" s="4" t="s">
        <v>25</v>
      </c>
      <c r="G10" s="4" t="s">
        <v>25</v>
      </c>
      <c r="H10" s="4" t="s">
        <v>34</v>
      </c>
      <c r="I10" s="5">
        <v>44682</v>
      </c>
      <c r="J10" s="6">
        <v>527</v>
      </c>
      <c r="K10" s="6">
        <v>527</v>
      </c>
      <c r="L10" s="6">
        <v>299.13900000000001</v>
      </c>
      <c r="M10" s="6">
        <v>299.13900000000001</v>
      </c>
      <c r="N10" s="6">
        <v>299.13900000000001</v>
      </c>
      <c r="O10" s="6">
        <v>299.13900000000001</v>
      </c>
      <c r="P10" s="6">
        <v>0</v>
      </c>
      <c r="Q10" s="4" t="s">
        <v>26</v>
      </c>
      <c r="R10" s="4">
        <v>0</v>
      </c>
      <c r="S10" s="4" t="s">
        <v>97</v>
      </c>
      <c r="T10" s="4" t="s">
        <v>318</v>
      </c>
      <c r="U10" s="4">
        <v>4</v>
      </c>
      <c r="V10" s="4">
        <v>6</v>
      </c>
      <c r="W10" s="4">
        <v>72</v>
      </c>
    </row>
    <row r="11" spans="1:23" ht="11.25" customHeight="1" x14ac:dyDescent="0.3">
      <c r="A11" s="4" t="s">
        <v>21</v>
      </c>
      <c r="B11" s="4" t="s">
        <v>37</v>
      </c>
      <c r="C11" s="4" t="s">
        <v>41</v>
      </c>
      <c r="D11" s="4" t="s">
        <v>40</v>
      </c>
      <c r="E11" s="4" t="s">
        <v>25</v>
      </c>
      <c r="F11" s="4" t="s">
        <v>25</v>
      </c>
      <c r="G11" s="4" t="s">
        <v>25</v>
      </c>
      <c r="H11" s="4" t="s">
        <v>34</v>
      </c>
      <c r="I11" s="5">
        <v>44713</v>
      </c>
      <c r="J11" s="6">
        <v>530</v>
      </c>
      <c r="K11" s="6">
        <v>530</v>
      </c>
      <c r="L11" s="6">
        <v>305.49599999999998</v>
      </c>
      <c r="M11" s="6">
        <v>305.49599999999998</v>
      </c>
      <c r="N11" s="6">
        <v>305.49599999999998</v>
      </c>
      <c r="O11" s="6">
        <v>305.49599999999998</v>
      </c>
      <c r="P11" s="6">
        <v>0</v>
      </c>
      <c r="Q11" s="4" t="s">
        <v>26</v>
      </c>
      <c r="R11" s="4">
        <v>0</v>
      </c>
      <c r="S11" s="4" t="s">
        <v>98</v>
      </c>
      <c r="T11" s="4" t="s">
        <v>319</v>
      </c>
      <c r="U11" s="4">
        <v>4</v>
      </c>
      <c r="V11" s="4">
        <v>6</v>
      </c>
      <c r="W11" s="4">
        <v>72</v>
      </c>
    </row>
    <row r="12" spans="1:23" ht="11.25" customHeight="1" x14ac:dyDescent="0.3">
      <c r="A12" s="4" t="s">
        <v>21</v>
      </c>
      <c r="B12" s="4" t="s">
        <v>37</v>
      </c>
      <c r="C12" s="4" t="s">
        <v>41</v>
      </c>
      <c r="D12" s="4" t="s">
        <v>40</v>
      </c>
      <c r="E12" s="4" t="s">
        <v>25</v>
      </c>
      <c r="F12" s="4" t="s">
        <v>25</v>
      </c>
      <c r="G12" s="4" t="s">
        <v>25</v>
      </c>
      <c r="H12" s="4" t="s">
        <v>34</v>
      </c>
      <c r="I12" s="5">
        <v>44743</v>
      </c>
      <c r="J12" s="6">
        <v>543</v>
      </c>
      <c r="K12" s="6">
        <v>543</v>
      </c>
      <c r="L12" s="6">
        <v>300.12599999999998</v>
      </c>
      <c r="M12" s="6">
        <v>300.12599999999998</v>
      </c>
      <c r="N12" s="6">
        <v>300.12599999999998</v>
      </c>
      <c r="O12" s="6">
        <v>300.12599999999998</v>
      </c>
      <c r="P12" s="6">
        <v>0</v>
      </c>
      <c r="Q12" s="4" t="s">
        <v>26</v>
      </c>
      <c r="R12" s="4">
        <v>0</v>
      </c>
      <c r="S12" s="4" t="s">
        <v>99</v>
      </c>
      <c r="T12" s="4" t="s">
        <v>320</v>
      </c>
      <c r="U12" s="4">
        <v>4</v>
      </c>
      <c r="V12" s="4">
        <v>6</v>
      </c>
      <c r="W12" s="4">
        <v>72</v>
      </c>
    </row>
    <row r="13" spans="1:23" ht="11.25" customHeight="1" x14ac:dyDescent="0.3">
      <c r="A13" s="4" t="s">
        <v>21</v>
      </c>
      <c r="B13" s="4" t="s">
        <v>37</v>
      </c>
      <c r="C13" s="4" t="s">
        <v>41</v>
      </c>
      <c r="D13" s="4" t="s">
        <v>40</v>
      </c>
      <c r="E13" s="4" t="s">
        <v>25</v>
      </c>
      <c r="F13" s="4" t="s">
        <v>25</v>
      </c>
      <c r="G13" s="4" t="s">
        <v>25</v>
      </c>
      <c r="H13" s="4" t="s">
        <v>34</v>
      </c>
      <c r="I13" s="5">
        <v>44774</v>
      </c>
      <c r="J13" s="6">
        <v>530</v>
      </c>
      <c r="K13" s="6">
        <v>530</v>
      </c>
      <c r="L13" s="6">
        <v>312.01100000000002</v>
      </c>
      <c r="M13" s="6">
        <v>312.01100000000002</v>
      </c>
      <c r="N13" s="6">
        <v>312.01100000000002</v>
      </c>
      <c r="O13" s="6">
        <v>312.01100000000002</v>
      </c>
      <c r="P13" s="6">
        <v>0</v>
      </c>
      <c r="Q13" s="4" t="s">
        <v>26</v>
      </c>
      <c r="R13" s="4">
        <v>0</v>
      </c>
      <c r="S13" s="4" t="s">
        <v>100</v>
      </c>
      <c r="T13" s="4" t="s">
        <v>321</v>
      </c>
      <c r="U13" s="4">
        <v>4</v>
      </c>
      <c r="V13" s="4">
        <v>6</v>
      </c>
      <c r="W13" s="4">
        <v>72</v>
      </c>
    </row>
    <row r="14" spans="1:23" ht="11.25" customHeight="1" x14ac:dyDescent="0.3">
      <c r="A14" s="4" t="s">
        <v>21</v>
      </c>
      <c r="B14" s="4" t="s">
        <v>37</v>
      </c>
      <c r="C14" s="4" t="s">
        <v>41</v>
      </c>
      <c r="D14" s="4" t="s">
        <v>40</v>
      </c>
      <c r="E14" s="4" t="s">
        <v>25</v>
      </c>
      <c r="F14" s="4" t="s">
        <v>25</v>
      </c>
      <c r="G14" s="4" t="s">
        <v>25</v>
      </c>
      <c r="H14" s="4" t="s">
        <v>39</v>
      </c>
      <c r="I14" s="5">
        <v>44440</v>
      </c>
      <c r="J14" s="6">
        <v>550</v>
      </c>
      <c r="K14" s="6">
        <v>550</v>
      </c>
      <c r="L14" s="6">
        <v>29.044</v>
      </c>
      <c r="M14" s="6">
        <v>29.044</v>
      </c>
      <c r="N14" s="6">
        <v>29.044</v>
      </c>
      <c r="O14" s="6">
        <v>29.044</v>
      </c>
      <c r="P14" s="6">
        <v>0</v>
      </c>
      <c r="Q14" s="4" t="s">
        <v>26</v>
      </c>
      <c r="R14" s="4">
        <v>0</v>
      </c>
      <c r="S14" s="4" t="s">
        <v>101</v>
      </c>
      <c r="T14" s="4" t="s">
        <v>322</v>
      </c>
      <c r="U14" s="4">
        <v>1</v>
      </c>
      <c r="V14" s="4">
        <v>6</v>
      </c>
      <c r="W14" s="4">
        <v>71</v>
      </c>
    </row>
    <row r="15" spans="1:23" ht="11.25" customHeight="1" x14ac:dyDescent="0.3">
      <c r="A15" s="4" t="s">
        <v>21</v>
      </c>
      <c r="B15" s="4" t="s">
        <v>37</v>
      </c>
      <c r="C15" s="4" t="s">
        <v>41</v>
      </c>
      <c r="D15" s="4" t="s">
        <v>40</v>
      </c>
      <c r="E15" s="4" t="s">
        <v>25</v>
      </c>
      <c r="F15" s="4" t="s">
        <v>25</v>
      </c>
      <c r="G15" s="4" t="s">
        <v>25</v>
      </c>
      <c r="H15" s="4" t="s">
        <v>39</v>
      </c>
      <c r="I15" s="5">
        <v>44470</v>
      </c>
      <c r="J15" s="6">
        <v>533</v>
      </c>
      <c r="K15" s="6">
        <v>533</v>
      </c>
      <c r="L15" s="6">
        <v>28.974</v>
      </c>
      <c r="M15" s="6">
        <v>28.974</v>
      </c>
      <c r="N15" s="6">
        <v>28.974</v>
      </c>
      <c r="O15" s="6">
        <v>28.974</v>
      </c>
      <c r="P15" s="6">
        <v>0</v>
      </c>
      <c r="Q15" s="4" t="s">
        <v>26</v>
      </c>
      <c r="R15" s="4">
        <v>0</v>
      </c>
      <c r="S15" s="4" t="s">
        <v>102</v>
      </c>
      <c r="T15" s="4" t="s">
        <v>323</v>
      </c>
      <c r="U15" s="4">
        <v>1</v>
      </c>
      <c r="V15" s="4">
        <v>6</v>
      </c>
      <c r="W15" s="4">
        <v>71</v>
      </c>
    </row>
    <row r="16" spans="1:23" ht="11.25" customHeight="1" x14ac:dyDescent="0.3">
      <c r="A16" s="4" t="s">
        <v>21</v>
      </c>
      <c r="B16" s="4" t="s">
        <v>37</v>
      </c>
      <c r="C16" s="4" t="s">
        <v>41</v>
      </c>
      <c r="D16" s="4" t="s">
        <v>40</v>
      </c>
      <c r="E16" s="4" t="s">
        <v>25</v>
      </c>
      <c r="F16" s="4" t="s">
        <v>25</v>
      </c>
      <c r="G16" s="4" t="s">
        <v>25</v>
      </c>
      <c r="H16" s="4" t="s">
        <v>39</v>
      </c>
      <c r="I16" s="5">
        <v>44501</v>
      </c>
      <c r="J16" s="6">
        <v>555</v>
      </c>
      <c r="K16" s="6">
        <v>555</v>
      </c>
      <c r="L16" s="6">
        <v>30.646999999999998</v>
      </c>
      <c r="M16" s="6">
        <v>30.646999999999998</v>
      </c>
      <c r="N16" s="6">
        <v>30.646999999999998</v>
      </c>
      <c r="O16" s="6">
        <v>30.646999999999998</v>
      </c>
      <c r="P16" s="6">
        <v>0</v>
      </c>
      <c r="Q16" s="4" t="s">
        <v>26</v>
      </c>
      <c r="R16" s="4">
        <v>0</v>
      </c>
      <c r="S16" s="4" t="s">
        <v>103</v>
      </c>
      <c r="T16" s="4" t="s">
        <v>324</v>
      </c>
      <c r="U16" s="4">
        <v>1</v>
      </c>
      <c r="V16" s="4">
        <v>6</v>
      </c>
      <c r="W16" s="4">
        <v>71</v>
      </c>
    </row>
    <row r="17" spans="1:23" ht="11.25" customHeight="1" x14ac:dyDescent="0.3">
      <c r="A17" s="4" t="s">
        <v>21</v>
      </c>
      <c r="B17" s="4" t="s">
        <v>37</v>
      </c>
      <c r="C17" s="4" t="s">
        <v>41</v>
      </c>
      <c r="D17" s="4" t="s">
        <v>40</v>
      </c>
      <c r="E17" s="4" t="s">
        <v>25</v>
      </c>
      <c r="F17" s="4" t="s">
        <v>25</v>
      </c>
      <c r="G17" s="4" t="s">
        <v>25</v>
      </c>
      <c r="H17" s="4" t="s">
        <v>39</v>
      </c>
      <c r="I17" s="5">
        <v>44531</v>
      </c>
      <c r="J17" s="6">
        <v>544</v>
      </c>
      <c r="K17" s="6">
        <v>544</v>
      </c>
      <c r="L17" s="6">
        <v>33.9</v>
      </c>
      <c r="M17" s="6">
        <v>33.9</v>
      </c>
      <c r="N17" s="6">
        <v>33.9</v>
      </c>
      <c r="O17" s="6">
        <v>33.9</v>
      </c>
      <c r="P17" s="6">
        <v>0</v>
      </c>
      <c r="Q17" s="4" t="s">
        <v>26</v>
      </c>
      <c r="R17" s="4">
        <v>0</v>
      </c>
      <c r="S17" s="4" t="s">
        <v>104</v>
      </c>
      <c r="T17" s="4" t="s">
        <v>325</v>
      </c>
      <c r="U17" s="4">
        <v>1</v>
      </c>
      <c r="V17" s="4">
        <v>6</v>
      </c>
      <c r="W17" s="4">
        <v>71</v>
      </c>
    </row>
    <row r="18" spans="1:23" ht="11.25" customHeight="1" x14ac:dyDescent="0.3">
      <c r="A18" s="4" t="s">
        <v>21</v>
      </c>
      <c r="B18" s="4" t="s">
        <v>37</v>
      </c>
      <c r="C18" s="4" t="s">
        <v>41</v>
      </c>
      <c r="D18" s="4" t="s">
        <v>40</v>
      </c>
      <c r="E18" s="4" t="s">
        <v>25</v>
      </c>
      <c r="F18" s="4" t="s">
        <v>25</v>
      </c>
      <c r="G18" s="4" t="s">
        <v>25</v>
      </c>
      <c r="H18" s="4" t="s">
        <v>39</v>
      </c>
      <c r="I18" s="5">
        <v>44562</v>
      </c>
      <c r="J18" s="6">
        <v>581</v>
      </c>
      <c r="K18" s="6">
        <v>581</v>
      </c>
      <c r="L18" s="6">
        <v>33.347000000000001</v>
      </c>
      <c r="M18" s="6">
        <v>33.347000000000001</v>
      </c>
      <c r="N18" s="6">
        <v>33.347000000000001</v>
      </c>
      <c r="O18" s="6">
        <v>33.347000000000001</v>
      </c>
      <c r="P18" s="6">
        <v>0</v>
      </c>
      <c r="Q18" s="4" t="s">
        <v>26</v>
      </c>
      <c r="R18" s="4">
        <v>0</v>
      </c>
      <c r="S18" s="4" t="s">
        <v>105</v>
      </c>
      <c r="T18" s="4" t="s">
        <v>326</v>
      </c>
      <c r="U18" s="4">
        <v>1</v>
      </c>
      <c r="V18" s="4">
        <v>6</v>
      </c>
      <c r="W18" s="4">
        <v>71</v>
      </c>
    </row>
    <row r="19" spans="1:23" ht="11.25" customHeight="1" x14ac:dyDescent="0.3">
      <c r="A19" s="4" t="s">
        <v>21</v>
      </c>
      <c r="B19" s="4" t="s">
        <v>37</v>
      </c>
      <c r="C19" s="4" t="s">
        <v>41</v>
      </c>
      <c r="D19" s="4" t="s">
        <v>40</v>
      </c>
      <c r="E19" s="4" t="s">
        <v>25</v>
      </c>
      <c r="F19" s="4" t="s">
        <v>25</v>
      </c>
      <c r="G19" s="4" t="s">
        <v>25</v>
      </c>
      <c r="H19" s="4" t="s">
        <v>39</v>
      </c>
      <c r="I19" s="5">
        <v>44593</v>
      </c>
      <c r="J19" s="6">
        <v>582</v>
      </c>
      <c r="K19" s="6">
        <v>582</v>
      </c>
      <c r="L19" s="6">
        <v>30.992000000000001</v>
      </c>
      <c r="M19" s="6">
        <v>30.992000000000001</v>
      </c>
      <c r="N19" s="6">
        <v>30.992000000000001</v>
      </c>
      <c r="O19" s="6">
        <v>30.992000000000001</v>
      </c>
      <c r="P19" s="6">
        <v>0</v>
      </c>
      <c r="Q19" s="4" t="s">
        <v>26</v>
      </c>
      <c r="R19" s="4">
        <v>0</v>
      </c>
      <c r="S19" s="4" t="s">
        <v>106</v>
      </c>
      <c r="T19" s="4" t="s">
        <v>327</v>
      </c>
      <c r="U19" s="4">
        <v>1</v>
      </c>
      <c r="V19" s="4">
        <v>6</v>
      </c>
      <c r="W19" s="4">
        <v>71</v>
      </c>
    </row>
    <row r="20" spans="1:23" ht="11.25" customHeight="1" x14ac:dyDescent="0.3">
      <c r="A20" s="4" t="s">
        <v>21</v>
      </c>
      <c r="B20" s="4" t="s">
        <v>37</v>
      </c>
      <c r="C20" s="4" t="s">
        <v>41</v>
      </c>
      <c r="D20" s="4" t="s">
        <v>40</v>
      </c>
      <c r="E20" s="4" t="s">
        <v>25</v>
      </c>
      <c r="F20" s="4" t="s">
        <v>25</v>
      </c>
      <c r="G20" s="4" t="s">
        <v>25</v>
      </c>
      <c r="H20" s="4" t="s">
        <v>39</v>
      </c>
      <c r="I20" s="5">
        <v>44621</v>
      </c>
      <c r="J20" s="6">
        <v>527</v>
      </c>
      <c r="K20" s="6">
        <v>527</v>
      </c>
      <c r="L20" s="6">
        <v>33.256</v>
      </c>
      <c r="M20" s="6">
        <v>33.256</v>
      </c>
      <c r="N20" s="6">
        <v>33.256</v>
      </c>
      <c r="O20" s="6">
        <v>33.256</v>
      </c>
      <c r="P20" s="6">
        <v>0</v>
      </c>
      <c r="Q20" s="4" t="s">
        <v>26</v>
      </c>
      <c r="R20" s="4">
        <v>0</v>
      </c>
      <c r="S20" s="4" t="s">
        <v>107</v>
      </c>
      <c r="T20" s="4" t="s">
        <v>328</v>
      </c>
      <c r="U20" s="4">
        <v>1</v>
      </c>
      <c r="V20" s="4">
        <v>6</v>
      </c>
      <c r="W20" s="4">
        <v>71</v>
      </c>
    </row>
    <row r="21" spans="1:23" ht="11.25" customHeight="1" x14ac:dyDescent="0.3">
      <c r="A21" s="4" t="s">
        <v>21</v>
      </c>
      <c r="B21" s="4" t="s">
        <v>37</v>
      </c>
      <c r="C21" s="4" t="s">
        <v>41</v>
      </c>
      <c r="D21" s="4" t="s">
        <v>40</v>
      </c>
      <c r="E21" s="4" t="s">
        <v>25</v>
      </c>
      <c r="F21" s="4" t="s">
        <v>25</v>
      </c>
      <c r="G21" s="4" t="s">
        <v>25</v>
      </c>
      <c r="H21" s="4" t="s">
        <v>39</v>
      </c>
      <c r="I21" s="5">
        <v>44652</v>
      </c>
      <c r="J21" s="6">
        <v>527</v>
      </c>
      <c r="K21" s="6">
        <v>527</v>
      </c>
      <c r="L21" s="6">
        <v>25.899000000000001</v>
      </c>
      <c r="M21" s="6">
        <v>25.899000000000001</v>
      </c>
      <c r="N21" s="6">
        <v>25.899000000000001</v>
      </c>
      <c r="O21" s="6">
        <v>25.899000000000001</v>
      </c>
      <c r="P21" s="6">
        <v>0</v>
      </c>
      <c r="Q21" s="4" t="s">
        <v>26</v>
      </c>
      <c r="R21" s="4">
        <v>0</v>
      </c>
      <c r="S21" s="4" t="s">
        <v>108</v>
      </c>
      <c r="T21" s="4" t="s">
        <v>329</v>
      </c>
      <c r="U21" s="4">
        <v>1</v>
      </c>
      <c r="V21" s="4">
        <v>6</v>
      </c>
      <c r="W21" s="4">
        <v>71</v>
      </c>
    </row>
    <row r="22" spans="1:23" ht="11.25" customHeight="1" x14ac:dyDescent="0.3">
      <c r="A22" s="4" t="s">
        <v>21</v>
      </c>
      <c r="B22" s="4" t="s">
        <v>37</v>
      </c>
      <c r="C22" s="4" t="s">
        <v>41</v>
      </c>
      <c r="D22" s="4" t="s">
        <v>40</v>
      </c>
      <c r="E22" s="4" t="s">
        <v>25</v>
      </c>
      <c r="F22" s="4" t="s">
        <v>25</v>
      </c>
      <c r="G22" s="4" t="s">
        <v>25</v>
      </c>
      <c r="H22" s="4" t="s">
        <v>39</v>
      </c>
      <c r="I22" s="5">
        <v>44682</v>
      </c>
      <c r="J22" s="6">
        <v>533</v>
      </c>
      <c r="K22" s="6">
        <v>533</v>
      </c>
      <c r="L22" s="6">
        <v>29.103000000000002</v>
      </c>
      <c r="M22" s="6">
        <v>29.103000000000002</v>
      </c>
      <c r="N22" s="6">
        <v>29.103000000000002</v>
      </c>
      <c r="O22" s="6">
        <v>29.103000000000002</v>
      </c>
      <c r="P22" s="6">
        <v>0</v>
      </c>
      <c r="Q22" s="4" t="s">
        <v>26</v>
      </c>
      <c r="R22" s="4">
        <v>0</v>
      </c>
      <c r="S22" s="4" t="s">
        <v>109</v>
      </c>
      <c r="T22" s="4" t="s">
        <v>330</v>
      </c>
      <c r="U22" s="4">
        <v>1</v>
      </c>
      <c r="V22" s="4">
        <v>6</v>
      </c>
      <c r="W22" s="4">
        <v>71</v>
      </c>
    </row>
    <row r="23" spans="1:23" ht="11.25" customHeight="1" x14ac:dyDescent="0.3">
      <c r="A23" s="4" t="s">
        <v>21</v>
      </c>
      <c r="B23" s="4" t="s">
        <v>37</v>
      </c>
      <c r="C23" s="4" t="s">
        <v>41</v>
      </c>
      <c r="D23" s="4" t="s">
        <v>40</v>
      </c>
      <c r="E23" s="4" t="s">
        <v>25</v>
      </c>
      <c r="F23" s="4" t="s">
        <v>25</v>
      </c>
      <c r="G23" s="4" t="s">
        <v>25</v>
      </c>
      <c r="H23" s="4" t="s">
        <v>39</v>
      </c>
      <c r="I23" s="5">
        <v>44713</v>
      </c>
      <c r="J23" s="6">
        <v>529</v>
      </c>
      <c r="K23" s="6">
        <v>529</v>
      </c>
      <c r="L23" s="6">
        <v>32.063000000000002</v>
      </c>
      <c r="M23" s="6">
        <v>32.063000000000002</v>
      </c>
      <c r="N23" s="6">
        <v>32.063000000000002</v>
      </c>
      <c r="O23" s="6">
        <v>32.063000000000002</v>
      </c>
      <c r="P23" s="6">
        <v>0</v>
      </c>
      <c r="Q23" s="4" t="s">
        <v>26</v>
      </c>
      <c r="R23" s="4">
        <v>0</v>
      </c>
      <c r="S23" s="4" t="s">
        <v>110</v>
      </c>
      <c r="T23" s="4" t="s">
        <v>331</v>
      </c>
      <c r="U23" s="4">
        <v>1</v>
      </c>
      <c r="V23" s="4">
        <v>6</v>
      </c>
      <c r="W23" s="4">
        <v>71</v>
      </c>
    </row>
    <row r="24" spans="1:23" ht="11.25" customHeight="1" x14ac:dyDescent="0.3">
      <c r="A24" s="4" t="s">
        <v>21</v>
      </c>
      <c r="B24" s="4" t="s">
        <v>37</v>
      </c>
      <c r="C24" s="4" t="s">
        <v>41</v>
      </c>
      <c r="D24" s="4" t="s">
        <v>40</v>
      </c>
      <c r="E24" s="4" t="s">
        <v>25</v>
      </c>
      <c r="F24" s="4" t="s">
        <v>25</v>
      </c>
      <c r="G24" s="4" t="s">
        <v>25</v>
      </c>
      <c r="H24" s="4" t="s">
        <v>39</v>
      </c>
      <c r="I24" s="5">
        <v>44743</v>
      </c>
      <c r="J24" s="6">
        <v>529</v>
      </c>
      <c r="K24" s="6">
        <v>529</v>
      </c>
      <c r="L24" s="6">
        <v>29.257000000000001</v>
      </c>
      <c r="M24" s="6">
        <v>29.257000000000001</v>
      </c>
      <c r="N24" s="6">
        <v>29.257000000000001</v>
      </c>
      <c r="O24" s="6">
        <v>29.257000000000001</v>
      </c>
      <c r="P24" s="6">
        <v>0</v>
      </c>
      <c r="Q24" s="4" t="s">
        <v>26</v>
      </c>
      <c r="R24" s="4">
        <v>0</v>
      </c>
      <c r="S24" s="4" t="s">
        <v>111</v>
      </c>
      <c r="T24" s="4" t="s">
        <v>332</v>
      </c>
      <c r="U24" s="4">
        <v>1</v>
      </c>
      <c r="V24" s="4">
        <v>6</v>
      </c>
      <c r="W24" s="4">
        <v>71</v>
      </c>
    </row>
    <row r="25" spans="1:23" ht="11.25" customHeight="1" x14ac:dyDescent="0.3">
      <c r="A25" s="4" t="s">
        <v>21</v>
      </c>
      <c r="B25" s="4" t="s">
        <v>37</v>
      </c>
      <c r="C25" s="4" t="s">
        <v>41</v>
      </c>
      <c r="D25" s="4" t="s">
        <v>40</v>
      </c>
      <c r="E25" s="4" t="s">
        <v>25</v>
      </c>
      <c r="F25" s="4" t="s">
        <v>25</v>
      </c>
      <c r="G25" s="4" t="s">
        <v>25</v>
      </c>
      <c r="H25" s="4" t="s">
        <v>39</v>
      </c>
      <c r="I25" s="5">
        <v>44774</v>
      </c>
      <c r="J25" s="6">
        <v>533</v>
      </c>
      <c r="K25" s="6">
        <v>533</v>
      </c>
      <c r="L25" s="6">
        <v>35.159999999999997</v>
      </c>
      <c r="M25" s="6">
        <v>35.159999999999997</v>
      </c>
      <c r="N25" s="6">
        <v>35.159999999999997</v>
      </c>
      <c r="O25" s="6">
        <v>35.159999999999997</v>
      </c>
      <c r="P25" s="6">
        <v>0</v>
      </c>
      <c r="Q25" s="4" t="s">
        <v>26</v>
      </c>
      <c r="R25" s="4">
        <v>0</v>
      </c>
      <c r="S25" s="4" t="s">
        <v>112</v>
      </c>
      <c r="T25" s="4" t="s">
        <v>333</v>
      </c>
      <c r="U25" s="4">
        <v>1</v>
      </c>
      <c r="V25" s="4">
        <v>6</v>
      </c>
      <c r="W25" s="4">
        <v>71</v>
      </c>
    </row>
    <row r="26" spans="1:23" ht="11.25" customHeight="1" x14ac:dyDescent="0.3">
      <c r="A26" s="4" t="s">
        <v>21</v>
      </c>
      <c r="B26" s="4" t="s">
        <v>37</v>
      </c>
      <c r="C26" s="4" t="s">
        <v>38</v>
      </c>
      <c r="D26" s="4" t="s">
        <v>40</v>
      </c>
      <c r="E26" s="4" t="s">
        <v>25</v>
      </c>
      <c r="F26" s="4" t="s">
        <v>25</v>
      </c>
      <c r="G26" s="4" t="s">
        <v>25</v>
      </c>
      <c r="H26" s="4" t="s">
        <v>34</v>
      </c>
      <c r="I26" s="5">
        <v>44440</v>
      </c>
      <c r="J26" s="6">
        <v>0</v>
      </c>
      <c r="K26" s="6">
        <v>0</v>
      </c>
      <c r="L26" s="6">
        <v>347.08499999999998</v>
      </c>
      <c r="M26" s="6">
        <v>347.08499999999998</v>
      </c>
      <c r="N26" s="6">
        <v>347.08499999999998</v>
      </c>
      <c r="O26" s="6">
        <v>347.08499999999998</v>
      </c>
      <c r="P26" s="6">
        <v>0</v>
      </c>
      <c r="Q26" s="4" t="s">
        <v>26</v>
      </c>
      <c r="R26" s="4">
        <v>0</v>
      </c>
      <c r="S26" s="4" t="s">
        <v>113</v>
      </c>
      <c r="T26" s="4" t="s">
        <v>310</v>
      </c>
      <c r="U26" s="4">
        <v>0</v>
      </c>
      <c r="V26" s="4">
        <v>16</v>
      </c>
      <c r="W26" s="4">
        <v>72</v>
      </c>
    </row>
    <row r="27" spans="1:23" ht="11.25" customHeight="1" x14ac:dyDescent="0.3">
      <c r="A27" s="4" t="s">
        <v>21</v>
      </c>
      <c r="B27" s="4" t="s">
        <v>37</v>
      </c>
      <c r="C27" s="4" t="s">
        <v>38</v>
      </c>
      <c r="D27" s="4" t="s">
        <v>40</v>
      </c>
      <c r="E27" s="4" t="s">
        <v>25</v>
      </c>
      <c r="F27" s="4" t="s">
        <v>25</v>
      </c>
      <c r="G27" s="4" t="s">
        <v>25</v>
      </c>
      <c r="H27" s="4" t="s">
        <v>34</v>
      </c>
      <c r="I27" s="5">
        <v>44470</v>
      </c>
      <c r="J27" s="6">
        <v>0</v>
      </c>
      <c r="K27" s="6">
        <v>0</v>
      </c>
      <c r="L27" s="6">
        <v>328.233</v>
      </c>
      <c r="M27" s="6">
        <v>328.233</v>
      </c>
      <c r="N27" s="6">
        <v>328.233</v>
      </c>
      <c r="O27" s="6">
        <v>328.233</v>
      </c>
      <c r="P27" s="6">
        <v>0</v>
      </c>
      <c r="Q27" s="4" t="s">
        <v>26</v>
      </c>
      <c r="R27" s="4">
        <v>0</v>
      </c>
      <c r="S27" s="4" t="s">
        <v>114</v>
      </c>
      <c r="T27" s="4" t="s">
        <v>311</v>
      </c>
      <c r="U27" s="4">
        <v>0</v>
      </c>
      <c r="V27" s="4">
        <v>16</v>
      </c>
      <c r="W27" s="4">
        <v>72</v>
      </c>
    </row>
    <row r="28" spans="1:23" ht="11.25" customHeight="1" x14ac:dyDescent="0.3">
      <c r="A28" s="4" t="s">
        <v>21</v>
      </c>
      <c r="B28" s="4" t="s">
        <v>37</v>
      </c>
      <c r="C28" s="4" t="s">
        <v>38</v>
      </c>
      <c r="D28" s="4" t="s">
        <v>40</v>
      </c>
      <c r="E28" s="4" t="s">
        <v>25</v>
      </c>
      <c r="F28" s="4" t="s">
        <v>25</v>
      </c>
      <c r="G28" s="4" t="s">
        <v>25</v>
      </c>
      <c r="H28" s="4" t="s">
        <v>34</v>
      </c>
      <c r="I28" s="5">
        <v>44501</v>
      </c>
      <c r="J28" s="6">
        <v>0</v>
      </c>
      <c r="K28" s="6">
        <v>0</v>
      </c>
      <c r="L28" s="6">
        <v>341.13799999999998</v>
      </c>
      <c r="M28" s="6">
        <v>341.13799999999998</v>
      </c>
      <c r="N28" s="6">
        <v>341.13799999999998</v>
      </c>
      <c r="O28" s="6">
        <v>341.13799999999998</v>
      </c>
      <c r="P28" s="6">
        <v>0</v>
      </c>
      <c r="Q28" s="4" t="s">
        <v>26</v>
      </c>
      <c r="R28" s="4">
        <v>0</v>
      </c>
      <c r="S28" s="4" t="s">
        <v>115</v>
      </c>
      <c r="T28" s="4" t="s">
        <v>312</v>
      </c>
      <c r="U28" s="4">
        <v>0</v>
      </c>
      <c r="V28" s="4">
        <v>16</v>
      </c>
      <c r="W28" s="4">
        <v>72</v>
      </c>
    </row>
    <row r="29" spans="1:23" ht="11.25" customHeight="1" x14ac:dyDescent="0.3">
      <c r="A29" s="4" t="s">
        <v>21</v>
      </c>
      <c r="B29" s="4" t="s">
        <v>37</v>
      </c>
      <c r="C29" s="4" t="s">
        <v>38</v>
      </c>
      <c r="D29" s="4" t="s">
        <v>40</v>
      </c>
      <c r="E29" s="4" t="s">
        <v>25</v>
      </c>
      <c r="F29" s="4" t="s">
        <v>25</v>
      </c>
      <c r="G29" s="4" t="s">
        <v>25</v>
      </c>
      <c r="H29" s="4" t="s">
        <v>34</v>
      </c>
      <c r="I29" s="5">
        <v>44531</v>
      </c>
      <c r="J29" s="6">
        <v>0</v>
      </c>
      <c r="K29" s="6">
        <v>0</v>
      </c>
      <c r="L29" s="6">
        <v>341.05599999999998</v>
      </c>
      <c r="M29" s="6">
        <v>341.05599999999998</v>
      </c>
      <c r="N29" s="6">
        <v>341.05599999999998</v>
      </c>
      <c r="O29" s="6">
        <v>341.05599999999998</v>
      </c>
      <c r="P29" s="6">
        <v>0</v>
      </c>
      <c r="Q29" s="4" t="s">
        <v>26</v>
      </c>
      <c r="R29" s="4">
        <v>0</v>
      </c>
      <c r="S29" s="4" t="s">
        <v>116</v>
      </c>
      <c r="T29" s="4" t="s">
        <v>313</v>
      </c>
      <c r="U29" s="4">
        <v>0</v>
      </c>
      <c r="V29" s="4">
        <v>16</v>
      </c>
      <c r="W29" s="4">
        <v>72</v>
      </c>
    </row>
    <row r="30" spans="1:23" ht="11.25" customHeight="1" x14ac:dyDescent="0.3">
      <c r="A30" s="4" t="s">
        <v>21</v>
      </c>
      <c r="B30" s="4" t="s">
        <v>37</v>
      </c>
      <c r="C30" s="4" t="s">
        <v>38</v>
      </c>
      <c r="D30" s="4" t="s">
        <v>40</v>
      </c>
      <c r="E30" s="4" t="s">
        <v>25</v>
      </c>
      <c r="F30" s="4" t="s">
        <v>25</v>
      </c>
      <c r="G30" s="4" t="s">
        <v>25</v>
      </c>
      <c r="H30" s="4" t="s">
        <v>34</v>
      </c>
      <c r="I30" s="5">
        <v>44562</v>
      </c>
      <c r="J30" s="6">
        <v>0</v>
      </c>
      <c r="K30" s="6">
        <v>0</v>
      </c>
      <c r="L30" s="6">
        <v>300.54700000000003</v>
      </c>
      <c r="M30" s="6">
        <v>300.54700000000003</v>
      </c>
      <c r="N30" s="6">
        <v>300.54700000000003</v>
      </c>
      <c r="O30" s="6">
        <v>300.54700000000003</v>
      </c>
      <c r="P30" s="6">
        <v>0</v>
      </c>
      <c r="Q30" s="4" t="s">
        <v>26</v>
      </c>
      <c r="R30" s="4">
        <v>0</v>
      </c>
      <c r="S30" s="4" t="s">
        <v>117</v>
      </c>
      <c r="T30" s="4" t="s">
        <v>314</v>
      </c>
      <c r="U30" s="4">
        <v>0</v>
      </c>
      <c r="V30" s="4">
        <v>16</v>
      </c>
      <c r="W30" s="4">
        <v>72</v>
      </c>
    </row>
    <row r="31" spans="1:23" ht="11.25" customHeight="1" x14ac:dyDescent="0.3">
      <c r="A31" s="4" t="s">
        <v>21</v>
      </c>
      <c r="B31" s="4" t="s">
        <v>37</v>
      </c>
      <c r="C31" s="4" t="s">
        <v>38</v>
      </c>
      <c r="D31" s="4" t="s">
        <v>40</v>
      </c>
      <c r="E31" s="4" t="s">
        <v>25</v>
      </c>
      <c r="F31" s="4" t="s">
        <v>25</v>
      </c>
      <c r="G31" s="4" t="s">
        <v>25</v>
      </c>
      <c r="H31" s="4" t="s">
        <v>34</v>
      </c>
      <c r="I31" s="5">
        <v>44593</v>
      </c>
      <c r="J31" s="6">
        <v>0</v>
      </c>
      <c r="K31" s="6">
        <v>0</v>
      </c>
      <c r="L31" s="6">
        <v>308.56799999999998</v>
      </c>
      <c r="M31" s="6">
        <v>308.56799999999998</v>
      </c>
      <c r="N31" s="6">
        <v>308.56799999999998</v>
      </c>
      <c r="O31" s="6">
        <v>308.56799999999998</v>
      </c>
      <c r="P31" s="6">
        <v>0</v>
      </c>
      <c r="Q31" s="4" t="s">
        <v>26</v>
      </c>
      <c r="R31" s="4">
        <v>0</v>
      </c>
      <c r="S31" s="4" t="s">
        <v>118</v>
      </c>
      <c r="T31" s="4" t="s">
        <v>315</v>
      </c>
      <c r="U31" s="4">
        <v>0</v>
      </c>
      <c r="V31" s="4">
        <v>16</v>
      </c>
      <c r="W31" s="4">
        <v>72</v>
      </c>
    </row>
    <row r="32" spans="1:23" ht="11.25" customHeight="1" x14ac:dyDescent="0.3">
      <c r="A32" s="4" t="s">
        <v>21</v>
      </c>
      <c r="B32" s="4" t="s">
        <v>37</v>
      </c>
      <c r="C32" s="4" t="s">
        <v>38</v>
      </c>
      <c r="D32" s="4" t="s">
        <v>40</v>
      </c>
      <c r="E32" s="4" t="s">
        <v>25</v>
      </c>
      <c r="F32" s="4" t="s">
        <v>25</v>
      </c>
      <c r="G32" s="4" t="s">
        <v>25</v>
      </c>
      <c r="H32" s="4" t="s">
        <v>34</v>
      </c>
      <c r="I32" s="5">
        <v>44621</v>
      </c>
      <c r="J32" s="6">
        <v>0</v>
      </c>
      <c r="K32" s="6">
        <v>0</v>
      </c>
      <c r="L32" s="6">
        <v>341.32</v>
      </c>
      <c r="M32" s="6">
        <v>341.32</v>
      </c>
      <c r="N32" s="6">
        <v>341.32</v>
      </c>
      <c r="O32" s="6">
        <v>341.32</v>
      </c>
      <c r="P32" s="6">
        <v>0</v>
      </c>
      <c r="Q32" s="4" t="s">
        <v>26</v>
      </c>
      <c r="R32" s="4">
        <v>0</v>
      </c>
      <c r="S32" s="4" t="s">
        <v>119</v>
      </c>
      <c r="T32" s="4" t="s">
        <v>316</v>
      </c>
      <c r="U32" s="4">
        <v>0</v>
      </c>
      <c r="V32" s="4">
        <v>16</v>
      </c>
      <c r="W32" s="4">
        <v>72</v>
      </c>
    </row>
    <row r="33" spans="1:23" ht="11.25" customHeight="1" x14ac:dyDescent="0.3">
      <c r="A33" s="4" t="s">
        <v>21</v>
      </c>
      <c r="B33" s="4" t="s">
        <v>37</v>
      </c>
      <c r="C33" s="4" t="s">
        <v>38</v>
      </c>
      <c r="D33" s="4" t="s">
        <v>40</v>
      </c>
      <c r="E33" s="4" t="s">
        <v>25</v>
      </c>
      <c r="F33" s="4" t="s">
        <v>25</v>
      </c>
      <c r="G33" s="4" t="s">
        <v>25</v>
      </c>
      <c r="H33" s="4" t="s">
        <v>34</v>
      </c>
      <c r="I33" s="5">
        <v>44652</v>
      </c>
      <c r="J33" s="6">
        <v>0</v>
      </c>
      <c r="K33" s="6">
        <v>0</v>
      </c>
      <c r="L33" s="6">
        <v>390.05599999999998</v>
      </c>
      <c r="M33" s="6">
        <v>390.05599999999998</v>
      </c>
      <c r="N33" s="6">
        <v>390.05599999999998</v>
      </c>
      <c r="O33" s="6">
        <v>390.05599999999998</v>
      </c>
      <c r="P33" s="6">
        <v>0</v>
      </c>
      <c r="Q33" s="4" t="s">
        <v>26</v>
      </c>
      <c r="R33" s="4">
        <v>0</v>
      </c>
      <c r="S33" s="4" t="s">
        <v>120</v>
      </c>
      <c r="T33" s="4" t="s">
        <v>317</v>
      </c>
      <c r="U33" s="4">
        <v>0</v>
      </c>
      <c r="V33" s="4">
        <v>16</v>
      </c>
      <c r="W33" s="4">
        <v>72</v>
      </c>
    </row>
    <row r="34" spans="1:23" ht="11.25" customHeight="1" x14ac:dyDescent="0.3">
      <c r="A34" s="4" t="s">
        <v>21</v>
      </c>
      <c r="B34" s="4" t="s">
        <v>37</v>
      </c>
      <c r="C34" s="4" t="s">
        <v>38</v>
      </c>
      <c r="D34" s="4" t="s">
        <v>40</v>
      </c>
      <c r="E34" s="4" t="s">
        <v>25</v>
      </c>
      <c r="F34" s="4" t="s">
        <v>25</v>
      </c>
      <c r="G34" s="4" t="s">
        <v>25</v>
      </c>
      <c r="H34" s="4" t="s">
        <v>34</v>
      </c>
      <c r="I34" s="5">
        <v>44682</v>
      </c>
      <c r="J34" s="6">
        <v>0</v>
      </c>
      <c r="K34" s="6">
        <v>0</v>
      </c>
      <c r="L34" s="6">
        <v>411.096</v>
      </c>
      <c r="M34" s="6">
        <v>411.096</v>
      </c>
      <c r="N34" s="6">
        <v>411.096</v>
      </c>
      <c r="O34" s="6">
        <v>411.096</v>
      </c>
      <c r="P34" s="6">
        <v>0</v>
      </c>
      <c r="Q34" s="4" t="s">
        <v>26</v>
      </c>
      <c r="R34" s="4">
        <v>0</v>
      </c>
      <c r="S34" s="4" t="s">
        <v>121</v>
      </c>
      <c r="T34" s="4" t="s">
        <v>318</v>
      </c>
      <c r="U34" s="4">
        <v>0</v>
      </c>
      <c r="V34" s="4">
        <v>16</v>
      </c>
      <c r="W34" s="4">
        <v>72</v>
      </c>
    </row>
    <row r="35" spans="1:23" ht="11.25" customHeight="1" x14ac:dyDescent="0.3">
      <c r="A35" s="4" t="s">
        <v>27</v>
      </c>
      <c r="B35" s="4" t="s">
        <v>37</v>
      </c>
      <c r="C35" s="4" t="s">
        <v>38</v>
      </c>
      <c r="D35" s="4" t="s">
        <v>40</v>
      </c>
      <c r="E35" s="4" t="s">
        <v>25</v>
      </c>
      <c r="F35" s="4" t="s">
        <v>25</v>
      </c>
      <c r="G35" s="4" t="s">
        <v>25</v>
      </c>
      <c r="H35" s="4" t="s">
        <v>34</v>
      </c>
      <c r="I35" s="5">
        <v>44682</v>
      </c>
      <c r="J35" s="6">
        <v>0</v>
      </c>
      <c r="K35" s="6">
        <v>0</v>
      </c>
      <c r="L35" s="6">
        <v>-21.530999999999999</v>
      </c>
      <c r="M35" s="6">
        <v>-21.530999999999999</v>
      </c>
      <c r="N35" s="6">
        <v>-21.530999999999999</v>
      </c>
      <c r="O35" s="6">
        <v>-21.530999999999999</v>
      </c>
      <c r="P35" s="6">
        <v>0</v>
      </c>
      <c r="Q35" s="4" t="s">
        <v>26</v>
      </c>
      <c r="R35" s="4">
        <v>0</v>
      </c>
      <c r="S35" s="4" t="s">
        <v>121</v>
      </c>
      <c r="T35" s="4" t="s">
        <v>318</v>
      </c>
      <c r="U35" s="4">
        <v>0</v>
      </c>
      <c r="V35" s="4">
        <v>16</v>
      </c>
      <c r="W35" s="4">
        <v>72</v>
      </c>
    </row>
    <row r="36" spans="1:23" ht="11.25" customHeight="1" x14ac:dyDescent="0.3">
      <c r="A36" s="4" t="s">
        <v>21</v>
      </c>
      <c r="B36" s="4" t="s">
        <v>37</v>
      </c>
      <c r="C36" s="4" t="s">
        <v>38</v>
      </c>
      <c r="D36" s="4" t="s">
        <v>40</v>
      </c>
      <c r="E36" s="4" t="s">
        <v>25</v>
      </c>
      <c r="F36" s="4" t="s">
        <v>25</v>
      </c>
      <c r="G36" s="4" t="s">
        <v>25</v>
      </c>
      <c r="H36" s="4" t="s">
        <v>34</v>
      </c>
      <c r="I36" s="5">
        <v>44713</v>
      </c>
      <c r="J36" s="6">
        <v>0</v>
      </c>
      <c r="K36" s="6">
        <v>0</v>
      </c>
      <c r="L36" s="6">
        <v>335.82299999999998</v>
      </c>
      <c r="M36" s="6">
        <v>335.82299999999998</v>
      </c>
      <c r="N36" s="6">
        <v>335.82299999999998</v>
      </c>
      <c r="O36" s="6">
        <v>335.82299999999998</v>
      </c>
      <c r="P36" s="6">
        <v>0</v>
      </c>
      <c r="Q36" s="4" t="s">
        <v>26</v>
      </c>
      <c r="R36" s="4">
        <v>0</v>
      </c>
      <c r="S36" s="4" t="s">
        <v>122</v>
      </c>
      <c r="T36" s="4" t="s">
        <v>319</v>
      </c>
      <c r="U36" s="4">
        <v>0</v>
      </c>
      <c r="V36" s="4">
        <v>16</v>
      </c>
      <c r="W36" s="4">
        <v>72</v>
      </c>
    </row>
    <row r="37" spans="1:23" ht="11.25" customHeight="1" x14ac:dyDescent="0.3">
      <c r="A37" s="4" t="s">
        <v>21</v>
      </c>
      <c r="B37" s="4" t="s">
        <v>37</v>
      </c>
      <c r="C37" s="4" t="s">
        <v>38</v>
      </c>
      <c r="D37" s="4" t="s">
        <v>40</v>
      </c>
      <c r="E37" s="4" t="s">
        <v>25</v>
      </c>
      <c r="F37" s="4" t="s">
        <v>25</v>
      </c>
      <c r="G37" s="4" t="s">
        <v>25</v>
      </c>
      <c r="H37" s="4" t="s">
        <v>34</v>
      </c>
      <c r="I37" s="5">
        <v>44743</v>
      </c>
      <c r="J37" s="6">
        <v>0</v>
      </c>
      <c r="K37" s="6">
        <v>0</v>
      </c>
      <c r="L37" s="6">
        <v>428.73</v>
      </c>
      <c r="M37" s="6">
        <v>428.73</v>
      </c>
      <c r="N37" s="6">
        <v>428.73</v>
      </c>
      <c r="O37" s="6">
        <v>428.73</v>
      </c>
      <c r="P37" s="6">
        <v>0</v>
      </c>
      <c r="Q37" s="4" t="s">
        <v>26</v>
      </c>
      <c r="R37" s="4">
        <v>0</v>
      </c>
      <c r="S37" s="4" t="s">
        <v>123</v>
      </c>
      <c r="T37" s="4" t="s">
        <v>320</v>
      </c>
      <c r="U37" s="4">
        <v>0</v>
      </c>
      <c r="V37" s="4">
        <v>16</v>
      </c>
      <c r="W37" s="4">
        <v>72</v>
      </c>
    </row>
    <row r="38" spans="1:23" ht="11.25" customHeight="1" x14ac:dyDescent="0.3">
      <c r="A38" s="4" t="s">
        <v>21</v>
      </c>
      <c r="B38" s="4" t="s">
        <v>37</v>
      </c>
      <c r="C38" s="4" t="s">
        <v>38</v>
      </c>
      <c r="D38" s="4" t="s">
        <v>40</v>
      </c>
      <c r="E38" s="4" t="s">
        <v>25</v>
      </c>
      <c r="F38" s="4" t="s">
        <v>25</v>
      </c>
      <c r="G38" s="4" t="s">
        <v>25</v>
      </c>
      <c r="H38" s="4" t="s">
        <v>34</v>
      </c>
      <c r="I38" s="5">
        <v>44774</v>
      </c>
      <c r="J38" s="6">
        <v>0</v>
      </c>
      <c r="K38" s="6">
        <v>0</v>
      </c>
      <c r="L38" s="6">
        <v>411.89800000000002</v>
      </c>
      <c r="M38" s="6">
        <v>411.89800000000002</v>
      </c>
      <c r="N38" s="6">
        <v>411.89800000000002</v>
      </c>
      <c r="O38" s="6">
        <v>411.89800000000002</v>
      </c>
      <c r="P38" s="6">
        <v>0</v>
      </c>
      <c r="Q38" s="4" t="s">
        <v>26</v>
      </c>
      <c r="R38" s="4">
        <v>0</v>
      </c>
      <c r="S38" s="4" t="s">
        <v>124</v>
      </c>
      <c r="T38" s="4" t="s">
        <v>321</v>
      </c>
      <c r="U38" s="4">
        <v>0</v>
      </c>
      <c r="V38" s="4">
        <v>16</v>
      </c>
      <c r="W38" s="4">
        <v>72</v>
      </c>
    </row>
    <row r="39" spans="1:23" ht="11.25" customHeight="1" x14ac:dyDescent="0.3">
      <c r="A39" s="4" t="s">
        <v>21</v>
      </c>
      <c r="B39" s="4" t="s">
        <v>37</v>
      </c>
      <c r="C39" s="4" t="s">
        <v>38</v>
      </c>
      <c r="D39" s="4" t="s">
        <v>40</v>
      </c>
      <c r="E39" s="4" t="s">
        <v>25</v>
      </c>
      <c r="F39" s="4" t="s">
        <v>25</v>
      </c>
      <c r="G39" s="4" t="s">
        <v>25</v>
      </c>
      <c r="H39" s="4" t="s">
        <v>25</v>
      </c>
      <c r="I39" s="5">
        <v>44440</v>
      </c>
      <c r="J39" s="6">
        <v>1108</v>
      </c>
      <c r="K39" s="6">
        <v>1108</v>
      </c>
      <c r="L39" s="6">
        <v>0</v>
      </c>
      <c r="M39" s="6">
        <v>0</v>
      </c>
      <c r="N39" s="6">
        <v>0</v>
      </c>
      <c r="O39" s="6">
        <v>0</v>
      </c>
      <c r="P39" s="6">
        <v>5</v>
      </c>
      <c r="Q39" s="4" t="s">
        <v>26</v>
      </c>
      <c r="R39" s="4">
        <v>0</v>
      </c>
      <c r="S39" s="4" t="s">
        <v>125</v>
      </c>
      <c r="U39" s="4">
        <v>12</v>
      </c>
      <c r="V39" s="4">
        <v>0</v>
      </c>
      <c r="W39" s="4">
        <v>0</v>
      </c>
    </row>
    <row r="40" spans="1:23" ht="11.25" customHeight="1" x14ac:dyDescent="0.3">
      <c r="A40" s="4" t="s">
        <v>21</v>
      </c>
      <c r="B40" s="4" t="s">
        <v>37</v>
      </c>
      <c r="C40" s="4" t="s">
        <v>38</v>
      </c>
      <c r="D40" s="4" t="s">
        <v>40</v>
      </c>
      <c r="E40" s="4" t="s">
        <v>25</v>
      </c>
      <c r="F40" s="4" t="s">
        <v>25</v>
      </c>
      <c r="G40" s="4" t="s">
        <v>25</v>
      </c>
      <c r="H40" s="4" t="s">
        <v>25</v>
      </c>
      <c r="I40" s="5">
        <v>44470</v>
      </c>
      <c r="J40" s="6">
        <v>1108</v>
      </c>
      <c r="K40" s="6">
        <v>1108</v>
      </c>
      <c r="L40" s="6">
        <v>0</v>
      </c>
      <c r="M40" s="6">
        <v>0</v>
      </c>
      <c r="N40" s="6">
        <v>0</v>
      </c>
      <c r="O40" s="6">
        <v>0</v>
      </c>
      <c r="P40" s="6">
        <v>5</v>
      </c>
      <c r="Q40" s="4" t="s">
        <v>26</v>
      </c>
      <c r="R40" s="4">
        <v>0</v>
      </c>
      <c r="S40" s="4" t="s">
        <v>126</v>
      </c>
      <c r="U40" s="4">
        <v>12</v>
      </c>
      <c r="V40" s="4">
        <v>0</v>
      </c>
      <c r="W40" s="4">
        <v>0</v>
      </c>
    </row>
    <row r="41" spans="1:23" ht="11.25" customHeight="1" x14ac:dyDescent="0.3">
      <c r="A41" s="4" t="s">
        <v>21</v>
      </c>
      <c r="B41" s="4" t="s">
        <v>37</v>
      </c>
      <c r="C41" s="4" t="s">
        <v>38</v>
      </c>
      <c r="D41" s="4" t="s">
        <v>40</v>
      </c>
      <c r="E41" s="4" t="s">
        <v>25</v>
      </c>
      <c r="F41" s="4" t="s">
        <v>25</v>
      </c>
      <c r="G41" s="4" t="s">
        <v>25</v>
      </c>
      <c r="H41" s="4" t="s">
        <v>25</v>
      </c>
      <c r="I41" s="5">
        <v>44501</v>
      </c>
      <c r="J41" s="6">
        <v>1131</v>
      </c>
      <c r="K41" s="6">
        <v>1131</v>
      </c>
      <c r="L41" s="6">
        <v>0</v>
      </c>
      <c r="M41" s="6">
        <v>0</v>
      </c>
      <c r="N41" s="6">
        <v>0</v>
      </c>
      <c r="O41" s="6">
        <v>0</v>
      </c>
      <c r="P41" s="6">
        <v>5</v>
      </c>
      <c r="Q41" s="4" t="s">
        <v>26</v>
      </c>
      <c r="R41" s="4">
        <v>0</v>
      </c>
      <c r="S41" s="4" t="s">
        <v>127</v>
      </c>
      <c r="U41" s="4">
        <v>12</v>
      </c>
      <c r="V41" s="4">
        <v>0</v>
      </c>
      <c r="W41" s="4">
        <v>0</v>
      </c>
    </row>
    <row r="42" spans="1:23" ht="11.25" customHeight="1" x14ac:dyDescent="0.3">
      <c r="A42" s="4" t="s">
        <v>21</v>
      </c>
      <c r="B42" s="4" t="s">
        <v>37</v>
      </c>
      <c r="C42" s="4" t="s">
        <v>38</v>
      </c>
      <c r="D42" s="4" t="s">
        <v>40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44531</v>
      </c>
      <c r="J42" s="6">
        <v>1178</v>
      </c>
      <c r="K42" s="6">
        <v>1178</v>
      </c>
      <c r="L42" s="6">
        <v>0</v>
      </c>
      <c r="M42" s="6">
        <v>0</v>
      </c>
      <c r="N42" s="6">
        <v>0</v>
      </c>
      <c r="O42" s="6">
        <v>0</v>
      </c>
      <c r="P42" s="6">
        <v>5</v>
      </c>
      <c r="Q42" s="4" t="s">
        <v>26</v>
      </c>
      <c r="R42" s="4">
        <v>0</v>
      </c>
      <c r="S42" s="4" t="s">
        <v>128</v>
      </c>
      <c r="U42" s="4">
        <v>12</v>
      </c>
      <c r="V42" s="4">
        <v>0</v>
      </c>
      <c r="W42" s="4">
        <v>0</v>
      </c>
    </row>
    <row r="43" spans="1:23" ht="11.25" customHeight="1" x14ac:dyDescent="0.3">
      <c r="A43" s="4" t="s">
        <v>21</v>
      </c>
      <c r="B43" s="4" t="s">
        <v>37</v>
      </c>
      <c r="C43" s="4" t="s">
        <v>38</v>
      </c>
      <c r="D43" s="4" t="s">
        <v>40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44562</v>
      </c>
      <c r="J43" s="6">
        <v>1123</v>
      </c>
      <c r="K43" s="6">
        <v>1123</v>
      </c>
      <c r="L43" s="6">
        <v>0</v>
      </c>
      <c r="M43" s="6">
        <v>0</v>
      </c>
      <c r="N43" s="6">
        <v>0</v>
      </c>
      <c r="O43" s="6">
        <v>0</v>
      </c>
      <c r="P43" s="6">
        <v>5</v>
      </c>
      <c r="Q43" s="4" t="s">
        <v>26</v>
      </c>
      <c r="R43" s="4">
        <v>0</v>
      </c>
      <c r="S43" s="4" t="s">
        <v>129</v>
      </c>
      <c r="U43" s="4">
        <v>12</v>
      </c>
      <c r="V43" s="4">
        <v>0</v>
      </c>
      <c r="W43" s="4">
        <v>0</v>
      </c>
    </row>
    <row r="44" spans="1:23" ht="11.25" customHeight="1" x14ac:dyDescent="0.3">
      <c r="A44" s="4" t="s">
        <v>21</v>
      </c>
      <c r="B44" s="4" t="s">
        <v>37</v>
      </c>
      <c r="C44" s="4" t="s">
        <v>38</v>
      </c>
      <c r="D44" s="4" t="s">
        <v>40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44593</v>
      </c>
      <c r="J44" s="6">
        <v>1143</v>
      </c>
      <c r="K44" s="6">
        <v>1143</v>
      </c>
      <c r="L44" s="6">
        <v>0</v>
      </c>
      <c r="M44" s="6">
        <v>0</v>
      </c>
      <c r="N44" s="6">
        <v>0</v>
      </c>
      <c r="O44" s="6">
        <v>0</v>
      </c>
      <c r="P44" s="6">
        <v>5</v>
      </c>
      <c r="Q44" s="4" t="s">
        <v>26</v>
      </c>
      <c r="R44" s="4">
        <v>0</v>
      </c>
      <c r="S44" s="4" t="s">
        <v>130</v>
      </c>
      <c r="U44" s="4">
        <v>12</v>
      </c>
      <c r="V44" s="4">
        <v>0</v>
      </c>
      <c r="W44" s="4">
        <v>0</v>
      </c>
    </row>
    <row r="45" spans="1:23" ht="11.25" customHeight="1" x14ac:dyDescent="0.3">
      <c r="A45" s="4" t="s">
        <v>21</v>
      </c>
      <c r="B45" s="4" t="s">
        <v>37</v>
      </c>
      <c r="C45" s="4" t="s">
        <v>38</v>
      </c>
      <c r="D45" s="4" t="s">
        <v>40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44621</v>
      </c>
      <c r="J45" s="6">
        <v>1122</v>
      </c>
      <c r="K45" s="6">
        <v>1122</v>
      </c>
      <c r="L45" s="6">
        <v>0</v>
      </c>
      <c r="M45" s="6">
        <v>0</v>
      </c>
      <c r="N45" s="6">
        <v>0</v>
      </c>
      <c r="O45" s="6">
        <v>0</v>
      </c>
      <c r="P45" s="6">
        <v>5</v>
      </c>
      <c r="Q45" s="4" t="s">
        <v>26</v>
      </c>
      <c r="R45" s="4">
        <v>0</v>
      </c>
      <c r="S45" s="4" t="s">
        <v>131</v>
      </c>
      <c r="U45" s="4">
        <v>12</v>
      </c>
      <c r="V45" s="4">
        <v>0</v>
      </c>
      <c r="W45" s="4">
        <v>0</v>
      </c>
    </row>
    <row r="46" spans="1:23" ht="11.25" customHeight="1" x14ac:dyDescent="0.3">
      <c r="A46" s="4" t="s">
        <v>21</v>
      </c>
      <c r="B46" s="4" t="s">
        <v>37</v>
      </c>
      <c r="C46" s="4" t="s">
        <v>38</v>
      </c>
      <c r="D46" s="4" t="s">
        <v>40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44652</v>
      </c>
      <c r="J46" s="6">
        <v>1166</v>
      </c>
      <c r="K46" s="6">
        <v>1166</v>
      </c>
      <c r="L46" s="6">
        <v>0</v>
      </c>
      <c r="M46" s="6">
        <v>0</v>
      </c>
      <c r="N46" s="6">
        <v>0</v>
      </c>
      <c r="O46" s="6">
        <v>0</v>
      </c>
      <c r="P46" s="6">
        <v>5</v>
      </c>
      <c r="Q46" s="4" t="s">
        <v>26</v>
      </c>
      <c r="R46" s="4">
        <v>0</v>
      </c>
      <c r="S46" s="4" t="s">
        <v>132</v>
      </c>
      <c r="U46" s="4">
        <v>12</v>
      </c>
      <c r="V46" s="4">
        <v>0</v>
      </c>
      <c r="W46" s="4">
        <v>0</v>
      </c>
    </row>
    <row r="47" spans="1:23" ht="11.25" customHeight="1" x14ac:dyDescent="0.3">
      <c r="A47" s="4" t="s">
        <v>21</v>
      </c>
      <c r="B47" s="4" t="s">
        <v>37</v>
      </c>
      <c r="C47" s="4" t="s">
        <v>38</v>
      </c>
      <c r="D47" s="4" t="s">
        <v>40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44682</v>
      </c>
      <c r="J47" s="6">
        <v>1530</v>
      </c>
      <c r="K47" s="6">
        <v>1530</v>
      </c>
      <c r="L47" s="6">
        <v>0</v>
      </c>
      <c r="M47" s="6">
        <v>0</v>
      </c>
      <c r="N47" s="6">
        <v>0</v>
      </c>
      <c r="O47" s="6">
        <v>0</v>
      </c>
      <c r="P47" s="6">
        <v>6</v>
      </c>
      <c r="Q47" s="4" t="s">
        <v>26</v>
      </c>
      <c r="R47" s="4">
        <v>0</v>
      </c>
      <c r="S47" s="4" t="s">
        <v>133</v>
      </c>
      <c r="U47" s="4">
        <v>12</v>
      </c>
      <c r="V47" s="4">
        <v>0</v>
      </c>
      <c r="W47" s="4">
        <v>0</v>
      </c>
    </row>
    <row r="48" spans="1:23" ht="11.25" customHeight="1" x14ac:dyDescent="0.3">
      <c r="A48" s="4" t="s">
        <v>27</v>
      </c>
      <c r="B48" s="4" t="s">
        <v>37</v>
      </c>
      <c r="C48" s="4" t="s">
        <v>38</v>
      </c>
      <c r="D48" s="4" t="s">
        <v>40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44682</v>
      </c>
      <c r="J48" s="6">
        <v>-177</v>
      </c>
      <c r="K48" s="6">
        <v>-177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4" t="s">
        <v>26</v>
      </c>
      <c r="R48" s="4">
        <v>0</v>
      </c>
      <c r="S48" s="4" t="s">
        <v>133</v>
      </c>
      <c r="U48" s="4">
        <v>12</v>
      </c>
      <c r="V48" s="4">
        <v>0</v>
      </c>
      <c r="W48" s="4">
        <v>0</v>
      </c>
    </row>
    <row r="49" spans="1:23" ht="11.25" customHeight="1" x14ac:dyDescent="0.3">
      <c r="A49" s="4" t="s">
        <v>21</v>
      </c>
      <c r="B49" s="4" t="s">
        <v>37</v>
      </c>
      <c r="C49" s="4" t="s">
        <v>38</v>
      </c>
      <c r="D49" s="4" t="s">
        <v>40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44713</v>
      </c>
      <c r="J49" s="6">
        <v>1148</v>
      </c>
      <c r="K49" s="6">
        <v>1148</v>
      </c>
      <c r="L49" s="6">
        <v>0</v>
      </c>
      <c r="M49" s="6">
        <v>0</v>
      </c>
      <c r="N49" s="6">
        <v>0</v>
      </c>
      <c r="O49" s="6">
        <v>0</v>
      </c>
      <c r="P49" s="6">
        <v>6</v>
      </c>
      <c r="Q49" s="4" t="s">
        <v>26</v>
      </c>
      <c r="R49" s="4">
        <v>0</v>
      </c>
      <c r="S49" s="4" t="s">
        <v>134</v>
      </c>
      <c r="U49" s="4">
        <v>12</v>
      </c>
      <c r="V49" s="4">
        <v>0</v>
      </c>
      <c r="W49" s="4">
        <v>0</v>
      </c>
    </row>
    <row r="50" spans="1:23" ht="11.25" customHeight="1" x14ac:dyDescent="0.3">
      <c r="A50" s="4" t="s">
        <v>21</v>
      </c>
      <c r="B50" s="4" t="s">
        <v>37</v>
      </c>
      <c r="C50" s="4" t="s">
        <v>38</v>
      </c>
      <c r="D50" s="4" t="s">
        <v>40</v>
      </c>
      <c r="E50" s="4" t="s">
        <v>25</v>
      </c>
      <c r="F50" s="4" t="s">
        <v>25</v>
      </c>
      <c r="G50" s="4" t="s">
        <v>25</v>
      </c>
      <c r="H50" s="4" t="s">
        <v>25</v>
      </c>
      <c r="I50" s="5">
        <v>44743</v>
      </c>
      <c r="J50" s="6">
        <v>1263</v>
      </c>
      <c r="K50" s="6">
        <v>1263</v>
      </c>
      <c r="L50" s="6">
        <v>0</v>
      </c>
      <c r="M50" s="6">
        <v>0</v>
      </c>
      <c r="N50" s="6">
        <v>0</v>
      </c>
      <c r="O50" s="6">
        <v>0</v>
      </c>
      <c r="P50" s="6">
        <v>6</v>
      </c>
      <c r="Q50" s="4" t="s">
        <v>26</v>
      </c>
      <c r="R50" s="4">
        <v>0</v>
      </c>
      <c r="S50" s="4" t="s">
        <v>135</v>
      </c>
      <c r="U50" s="4">
        <v>12</v>
      </c>
      <c r="V50" s="4">
        <v>0</v>
      </c>
      <c r="W50" s="4">
        <v>0</v>
      </c>
    </row>
    <row r="51" spans="1:23" ht="11.25" customHeight="1" x14ac:dyDescent="0.3">
      <c r="A51" s="4" t="s">
        <v>21</v>
      </c>
      <c r="B51" s="4" t="s">
        <v>37</v>
      </c>
      <c r="C51" s="4" t="s">
        <v>38</v>
      </c>
      <c r="D51" s="4" t="s">
        <v>40</v>
      </c>
      <c r="E51" s="4" t="s">
        <v>25</v>
      </c>
      <c r="F51" s="4" t="s">
        <v>25</v>
      </c>
      <c r="G51" s="4" t="s">
        <v>25</v>
      </c>
      <c r="H51" s="4" t="s">
        <v>25</v>
      </c>
      <c r="I51" s="5">
        <v>44774</v>
      </c>
      <c r="J51" s="6">
        <v>1196</v>
      </c>
      <c r="K51" s="6">
        <v>1196</v>
      </c>
      <c r="L51" s="6">
        <v>0</v>
      </c>
      <c r="M51" s="6">
        <v>0</v>
      </c>
      <c r="N51" s="6">
        <v>0</v>
      </c>
      <c r="O51" s="6">
        <v>0</v>
      </c>
      <c r="P51" s="6">
        <v>6</v>
      </c>
      <c r="Q51" s="4" t="s">
        <v>26</v>
      </c>
      <c r="R51" s="4">
        <v>0</v>
      </c>
      <c r="S51" s="4" t="s">
        <v>136</v>
      </c>
      <c r="U51" s="4">
        <v>12</v>
      </c>
      <c r="V51" s="4">
        <v>0</v>
      </c>
      <c r="W51" s="4">
        <v>0</v>
      </c>
    </row>
    <row r="52" spans="1:23" ht="11.25" customHeight="1" x14ac:dyDescent="0.3">
      <c r="A52" s="4" t="s">
        <v>21</v>
      </c>
      <c r="B52" s="4" t="s">
        <v>37</v>
      </c>
      <c r="C52" s="4" t="s">
        <v>38</v>
      </c>
      <c r="D52" s="4" t="s">
        <v>40</v>
      </c>
      <c r="E52" s="4" t="s">
        <v>25</v>
      </c>
      <c r="F52" s="4" t="s">
        <v>25</v>
      </c>
      <c r="G52" s="4" t="s">
        <v>25</v>
      </c>
      <c r="H52" s="4" t="s">
        <v>39</v>
      </c>
      <c r="I52" s="5">
        <v>44440</v>
      </c>
      <c r="J52" s="6">
        <v>0</v>
      </c>
      <c r="K52" s="6">
        <v>0</v>
      </c>
      <c r="L52" s="6">
        <v>13.968</v>
      </c>
      <c r="M52" s="6">
        <v>13.968</v>
      </c>
      <c r="N52" s="6">
        <v>13.968</v>
      </c>
      <c r="O52" s="6">
        <v>13.968</v>
      </c>
      <c r="P52" s="6">
        <v>0</v>
      </c>
      <c r="Q52" s="4" t="s">
        <v>26</v>
      </c>
      <c r="R52" s="4">
        <v>0</v>
      </c>
      <c r="S52" s="4" t="s">
        <v>137</v>
      </c>
      <c r="T52" s="4" t="s">
        <v>322</v>
      </c>
      <c r="U52" s="4">
        <v>0</v>
      </c>
      <c r="V52" s="4">
        <v>14</v>
      </c>
      <c r="W52" s="4">
        <v>71</v>
      </c>
    </row>
    <row r="53" spans="1:23" ht="11.25" customHeight="1" x14ac:dyDescent="0.3">
      <c r="A53" s="4" t="s">
        <v>21</v>
      </c>
      <c r="B53" s="4" t="s">
        <v>37</v>
      </c>
      <c r="C53" s="4" t="s">
        <v>38</v>
      </c>
      <c r="D53" s="4" t="s">
        <v>40</v>
      </c>
      <c r="E53" s="4" t="s">
        <v>25</v>
      </c>
      <c r="F53" s="4" t="s">
        <v>25</v>
      </c>
      <c r="G53" s="4" t="s">
        <v>25</v>
      </c>
      <c r="H53" s="4" t="s">
        <v>39</v>
      </c>
      <c r="I53" s="5">
        <v>44470</v>
      </c>
      <c r="J53" s="6">
        <v>0</v>
      </c>
      <c r="K53" s="6">
        <v>0</v>
      </c>
      <c r="L53" s="6">
        <v>6.4290000000000003</v>
      </c>
      <c r="M53" s="6">
        <v>6.4290000000000003</v>
      </c>
      <c r="N53" s="6">
        <v>6.4290000000000003</v>
      </c>
      <c r="O53" s="6">
        <v>6.4290000000000003</v>
      </c>
      <c r="P53" s="6">
        <v>0</v>
      </c>
      <c r="Q53" s="4" t="s">
        <v>26</v>
      </c>
      <c r="R53" s="4">
        <v>0</v>
      </c>
      <c r="S53" s="4" t="s">
        <v>138</v>
      </c>
      <c r="T53" s="4" t="s">
        <v>323</v>
      </c>
      <c r="U53" s="4">
        <v>0</v>
      </c>
      <c r="V53" s="4">
        <v>14</v>
      </c>
      <c r="W53" s="4">
        <v>71</v>
      </c>
    </row>
    <row r="54" spans="1:23" ht="11.25" customHeight="1" x14ac:dyDescent="0.3">
      <c r="A54" s="4" t="s">
        <v>21</v>
      </c>
      <c r="B54" s="4" t="s">
        <v>37</v>
      </c>
      <c r="C54" s="4" t="s">
        <v>38</v>
      </c>
      <c r="D54" s="4" t="s">
        <v>40</v>
      </c>
      <c r="E54" s="4" t="s">
        <v>25</v>
      </c>
      <c r="F54" s="4" t="s">
        <v>25</v>
      </c>
      <c r="G54" s="4" t="s">
        <v>25</v>
      </c>
      <c r="H54" s="4" t="s">
        <v>39</v>
      </c>
      <c r="I54" s="5">
        <v>44501</v>
      </c>
      <c r="J54" s="6">
        <v>0</v>
      </c>
      <c r="K54" s="6">
        <v>0</v>
      </c>
      <c r="L54" s="6">
        <v>12.542999999999999</v>
      </c>
      <c r="M54" s="6">
        <v>12.542999999999999</v>
      </c>
      <c r="N54" s="6">
        <v>12.542999999999999</v>
      </c>
      <c r="O54" s="6">
        <v>12.542999999999999</v>
      </c>
      <c r="P54" s="6">
        <v>0</v>
      </c>
      <c r="Q54" s="4" t="s">
        <v>26</v>
      </c>
      <c r="R54" s="4">
        <v>0</v>
      </c>
      <c r="S54" s="4" t="s">
        <v>139</v>
      </c>
      <c r="T54" s="4" t="s">
        <v>324</v>
      </c>
      <c r="U54" s="4">
        <v>0</v>
      </c>
      <c r="V54" s="4">
        <v>14</v>
      </c>
      <c r="W54" s="4">
        <v>71</v>
      </c>
    </row>
    <row r="55" spans="1:23" ht="11.25" customHeight="1" x14ac:dyDescent="0.3">
      <c r="A55" s="4" t="s">
        <v>21</v>
      </c>
      <c r="B55" s="4" t="s">
        <v>37</v>
      </c>
      <c r="C55" s="4" t="s">
        <v>38</v>
      </c>
      <c r="D55" s="4" t="s">
        <v>40</v>
      </c>
      <c r="E55" s="4" t="s">
        <v>25</v>
      </c>
      <c r="F55" s="4" t="s">
        <v>25</v>
      </c>
      <c r="G55" s="4" t="s">
        <v>25</v>
      </c>
      <c r="H55" s="4" t="s">
        <v>39</v>
      </c>
      <c r="I55" s="5">
        <v>44531</v>
      </c>
      <c r="J55" s="6">
        <v>0</v>
      </c>
      <c r="K55" s="6">
        <v>0</v>
      </c>
      <c r="L55" s="6">
        <v>9.2059999999999995</v>
      </c>
      <c r="M55" s="6">
        <v>9.2059999999999995</v>
      </c>
      <c r="N55" s="6">
        <v>9.2059999999999995</v>
      </c>
      <c r="O55" s="6">
        <v>9.2059999999999995</v>
      </c>
      <c r="P55" s="6">
        <v>0</v>
      </c>
      <c r="Q55" s="4" t="s">
        <v>26</v>
      </c>
      <c r="R55" s="4">
        <v>0</v>
      </c>
      <c r="S55" s="4" t="s">
        <v>140</v>
      </c>
      <c r="T55" s="4" t="s">
        <v>325</v>
      </c>
      <c r="U55" s="4">
        <v>0</v>
      </c>
      <c r="V55" s="4">
        <v>14</v>
      </c>
      <c r="W55" s="4">
        <v>71</v>
      </c>
    </row>
    <row r="56" spans="1:23" ht="11.25" customHeight="1" x14ac:dyDescent="0.3">
      <c r="A56" s="4" t="s">
        <v>21</v>
      </c>
      <c r="B56" s="4" t="s">
        <v>37</v>
      </c>
      <c r="C56" s="4" t="s">
        <v>38</v>
      </c>
      <c r="D56" s="4" t="s">
        <v>40</v>
      </c>
      <c r="E56" s="4" t="s">
        <v>25</v>
      </c>
      <c r="F56" s="4" t="s">
        <v>25</v>
      </c>
      <c r="G56" s="4" t="s">
        <v>25</v>
      </c>
      <c r="H56" s="4" t="s">
        <v>39</v>
      </c>
      <c r="I56" s="5">
        <v>44562</v>
      </c>
      <c r="J56" s="6">
        <v>0</v>
      </c>
      <c r="K56" s="6">
        <v>0</v>
      </c>
      <c r="L56" s="6">
        <v>6.8529999999999998</v>
      </c>
      <c r="M56" s="6">
        <v>6.8529999999999998</v>
      </c>
      <c r="N56" s="6">
        <v>6.8529999999999998</v>
      </c>
      <c r="O56" s="6">
        <v>6.8529999999999998</v>
      </c>
      <c r="P56" s="6">
        <v>0</v>
      </c>
      <c r="Q56" s="4" t="s">
        <v>26</v>
      </c>
      <c r="R56" s="4">
        <v>0</v>
      </c>
      <c r="S56" s="4" t="s">
        <v>141</v>
      </c>
      <c r="T56" s="4" t="s">
        <v>326</v>
      </c>
      <c r="U56" s="4">
        <v>0</v>
      </c>
      <c r="V56" s="4">
        <v>14</v>
      </c>
      <c r="W56" s="4">
        <v>71</v>
      </c>
    </row>
    <row r="57" spans="1:23" ht="11.25" customHeight="1" x14ac:dyDescent="0.3">
      <c r="A57" s="4" t="s">
        <v>21</v>
      </c>
      <c r="B57" s="4" t="s">
        <v>37</v>
      </c>
      <c r="C57" s="4" t="s">
        <v>38</v>
      </c>
      <c r="D57" s="4" t="s">
        <v>40</v>
      </c>
      <c r="E57" s="4" t="s">
        <v>25</v>
      </c>
      <c r="F57" s="4" t="s">
        <v>25</v>
      </c>
      <c r="G57" s="4" t="s">
        <v>25</v>
      </c>
      <c r="H57" s="4" t="s">
        <v>39</v>
      </c>
      <c r="I57" s="5">
        <v>44593</v>
      </c>
      <c r="J57" s="6">
        <v>0</v>
      </c>
      <c r="K57" s="6">
        <v>0</v>
      </c>
      <c r="L57" s="6">
        <v>8.2240000000000002</v>
      </c>
      <c r="M57" s="6">
        <v>8.2240000000000002</v>
      </c>
      <c r="N57" s="6">
        <v>8.2240000000000002</v>
      </c>
      <c r="O57" s="6">
        <v>8.2240000000000002</v>
      </c>
      <c r="P57" s="6">
        <v>0</v>
      </c>
      <c r="Q57" s="4" t="s">
        <v>26</v>
      </c>
      <c r="R57" s="4">
        <v>0</v>
      </c>
      <c r="S57" s="4" t="s">
        <v>142</v>
      </c>
      <c r="T57" s="4" t="s">
        <v>327</v>
      </c>
      <c r="U57" s="4">
        <v>0</v>
      </c>
      <c r="V57" s="4">
        <v>14</v>
      </c>
      <c r="W57" s="4">
        <v>71</v>
      </c>
    </row>
    <row r="58" spans="1:23" ht="11.25" customHeight="1" x14ac:dyDescent="0.3">
      <c r="A58" s="4" t="s">
        <v>21</v>
      </c>
      <c r="B58" s="4" t="s">
        <v>37</v>
      </c>
      <c r="C58" s="4" t="s">
        <v>38</v>
      </c>
      <c r="D58" s="4" t="s">
        <v>40</v>
      </c>
      <c r="E58" s="4" t="s">
        <v>25</v>
      </c>
      <c r="F58" s="4" t="s">
        <v>25</v>
      </c>
      <c r="G58" s="4" t="s">
        <v>25</v>
      </c>
      <c r="H58" s="4" t="s">
        <v>39</v>
      </c>
      <c r="I58" s="5">
        <v>44621</v>
      </c>
      <c r="J58" s="6">
        <v>0</v>
      </c>
      <c r="K58" s="6">
        <v>0</v>
      </c>
      <c r="L58" s="6">
        <v>6.6360000000000001</v>
      </c>
      <c r="M58" s="6">
        <v>6.6360000000000001</v>
      </c>
      <c r="N58" s="6">
        <v>6.6360000000000001</v>
      </c>
      <c r="O58" s="6">
        <v>6.6360000000000001</v>
      </c>
      <c r="P58" s="6">
        <v>0</v>
      </c>
      <c r="Q58" s="4" t="s">
        <v>26</v>
      </c>
      <c r="R58" s="4">
        <v>0</v>
      </c>
      <c r="S58" s="4" t="s">
        <v>143</v>
      </c>
      <c r="T58" s="4" t="s">
        <v>328</v>
      </c>
      <c r="U58" s="4">
        <v>0</v>
      </c>
      <c r="V58" s="4">
        <v>14</v>
      </c>
      <c r="W58" s="4">
        <v>71</v>
      </c>
    </row>
    <row r="59" spans="1:23" ht="11.25" customHeight="1" x14ac:dyDescent="0.3">
      <c r="A59" s="4" t="s">
        <v>21</v>
      </c>
      <c r="B59" s="4" t="s">
        <v>37</v>
      </c>
      <c r="C59" s="4" t="s">
        <v>38</v>
      </c>
      <c r="D59" s="4" t="s">
        <v>40</v>
      </c>
      <c r="E59" s="4" t="s">
        <v>25</v>
      </c>
      <c r="F59" s="4" t="s">
        <v>25</v>
      </c>
      <c r="G59" s="4" t="s">
        <v>25</v>
      </c>
      <c r="H59" s="4" t="s">
        <v>39</v>
      </c>
      <c r="I59" s="5">
        <v>44652</v>
      </c>
      <c r="J59" s="6">
        <v>0</v>
      </c>
      <c r="K59" s="6">
        <v>0</v>
      </c>
      <c r="L59" s="6">
        <v>8.109</v>
      </c>
      <c r="M59" s="6">
        <v>8.109</v>
      </c>
      <c r="N59" s="6">
        <v>8.109</v>
      </c>
      <c r="O59" s="6">
        <v>8.109</v>
      </c>
      <c r="P59" s="6">
        <v>0</v>
      </c>
      <c r="Q59" s="4" t="s">
        <v>26</v>
      </c>
      <c r="R59" s="4">
        <v>0</v>
      </c>
      <c r="S59" s="4" t="s">
        <v>144</v>
      </c>
      <c r="T59" s="4" t="s">
        <v>329</v>
      </c>
      <c r="U59" s="4">
        <v>0</v>
      </c>
      <c r="V59" s="4">
        <v>14</v>
      </c>
      <c r="W59" s="4">
        <v>71</v>
      </c>
    </row>
    <row r="60" spans="1:23" ht="11.25" customHeight="1" x14ac:dyDescent="0.3">
      <c r="A60" s="4" t="s">
        <v>21</v>
      </c>
      <c r="B60" s="4" t="s">
        <v>37</v>
      </c>
      <c r="C60" s="4" t="s">
        <v>38</v>
      </c>
      <c r="D60" s="4" t="s">
        <v>40</v>
      </c>
      <c r="E60" s="4" t="s">
        <v>25</v>
      </c>
      <c r="F60" s="4" t="s">
        <v>25</v>
      </c>
      <c r="G60" s="4" t="s">
        <v>25</v>
      </c>
      <c r="H60" s="4" t="s">
        <v>39</v>
      </c>
      <c r="I60" s="5">
        <v>44682</v>
      </c>
      <c r="J60" s="6">
        <v>0</v>
      </c>
      <c r="K60" s="6">
        <v>0</v>
      </c>
      <c r="L60" s="6">
        <v>6.93</v>
      </c>
      <c r="M60" s="6">
        <v>6.93</v>
      </c>
      <c r="N60" s="6">
        <v>6.93</v>
      </c>
      <c r="O60" s="6">
        <v>6.93</v>
      </c>
      <c r="P60" s="6">
        <v>0</v>
      </c>
      <c r="Q60" s="4" t="s">
        <v>26</v>
      </c>
      <c r="R60" s="4">
        <v>0</v>
      </c>
      <c r="S60" s="4" t="s">
        <v>145</v>
      </c>
      <c r="T60" s="4" t="s">
        <v>330</v>
      </c>
      <c r="U60" s="4">
        <v>0</v>
      </c>
      <c r="V60" s="4">
        <v>14</v>
      </c>
      <c r="W60" s="4">
        <v>71</v>
      </c>
    </row>
    <row r="61" spans="1:23" ht="11.25" customHeight="1" x14ac:dyDescent="0.3">
      <c r="A61" s="4" t="s">
        <v>27</v>
      </c>
      <c r="B61" s="4" t="s">
        <v>37</v>
      </c>
      <c r="C61" s="4" t="s">
        <v>38</v>
      </c>
      <c r="D61" s="4" t="s">
        <v>40</v>
      </c>
      <c r="E61" s="4" t="s">
        <v>25</v>
      </c>
      <c r="F61" s="4" t="s">
        <v>25</v>
      </c>
      <c r="G61" s="4" t="s">
        <v>25</v>
      </c>
      <c r="H61" s="4" t="s">
        <v>39</v>
      </c>
      <c r="I61" s="5">
        <v>44682</v>
      </c>
      <c r="J61" s="6">
        <v>0</v>
      </c>
      <c r="K61" s="6">
        <v>0</v>
      </c>
      <c r="L61" s="6">
        <v>-1.45</v>
      </c>
      <c r="M61" s="6">
        <v>-1.45</v>
      </c>
      <c r="N61" s="6">
        <v>-1.45</v>
      </c>
      <c r="O61" s="6">
        <v>-1.45</v>
      </c>
      <c r="P61" s="6">
        <v>0</v>
      </c>
      <c r="Q61" s="4" t="s">
        <v>26</v>
      </c>
      <c r="R61" s="4">
        <v>0</v>
      </c>
      <c r="S61" s="4" t="s">
        <v>145</v>
      </c>
      <c r="T61" s="4" t="s">
        <v>330</v>
      </c>
      <c r="U61" s="4">
        <v>0</v>
      </c>
      <c r="V61" s="4">
        <v>14</v>
      </c>
      <c r="W61" s="4">
        <v>71</v>
      </c>
    </row>
    <row r="62" spans="1:23" ht="11.25" customHeight="1" x14ac:dyDescent="0.3">
      <c r="A62" s="4" t="s">
        <v>21</v>
      </c>
      <c r="B62" s="4" t="s">
        <v>37</v>
      </c>
      <c r="C62" s="4" t="s">
        <v>38</v>
      </c>
      <c r="D62" s="4" t="s">
        <v>40</v>
      </c>
      <c r="E62" s="4" t="s">
        <v>25</v>
      </c>
      <c r="F62" s="4" t="s">
        <v>25</v>
      </c>
      <c r="G62" s="4" t="s">
        <v>25</v>
      </c>
      <c r="H62" s="4" t="s">
        <v>39</v>
      </c>
      <c r="I62" s="5">
        <v>44713</v>
      </c>
      <c r="J62" s="6">
        <v>0</v>
      </c>
      <c r="K62" s="6">
        <v>0</v>
      </c>
      <c r="L62" s="6">
        <v>5.4790000000000001</v>
      </c>
      <c r="M62" s="6">
        <v>5.4790000000000001</v>
      </c>
      <c r="N62" s="6">
        <v>5.4790000000000001</v>
      </c>
      <c r="O62" s="6">
        <v>5.4790000000000001</v>
      </c>
      <c r="P62" s="6">
        <v>0</v>
      </c>
      <c r="Q62" s="4" t="s">
        <v>26</v>
      </c>
      <c r="R62" s="4">
        <v>0</v>
      </c>
      <c r="S62" s="4" t="s">
        <v>146</v>
      </c>
      <c r="T62" s="4" t="s">
        <v>331</v>
      </c>
      <c r="U62" s="4">
        <v>0</v>
      </c>
      <c r="V62" s="4">
        <v>14</v>
      </c>
      <c r="W62" s="4">
        <v>71</v>
      </c>
    </row>
    <row r="63" spans="1:23" ht="11.25" customHeight="1" x14ac:dyDescent="0.3">
      <c r="A63" s="4" t="s">
        <v>21</v>
      </c>
      <c r="B63" s="4" t="s">
        <v>37</v>
      </c>
      <c r="C63" s="4" t="s">
        <v>38</v>
      </c>
      <c r="D63" s="4" t="s">
        <v>40</v>
      </c>
      <c r="E63" s="4" t="s">
        <v>25</v>
      </c>
      <c r="F63" s="4" t="s">
        <v>25</v>
      </c>
      <c r="G63" s="4" t="s">
        <v>25</v>
      </c>
      <c r="H63" s="4" t="s">
        <v>39</v>
      </c>
      <c r="I63" s="5">
        <v>44743</v>
      </c>
      <c r="J63" s="6">
        <v>0</v>
      </c>
      <c r="K63" s="6">
        <v>0</v>
      </c>
      <c r="L63" s="6">
        <v>16.074999999999999</v>
      </c>
      <c r="M63" s="6">
        <v>16.074999999999999</v>
      </c>
      <c r="N63" s="6">
        <v>16.074999999999999</v>
      </c>
      <c r="O63" s="6">
        <v>16.074999999999999</v>
      </c>
      <c r="P63" s="6">
        <v>0</v>
      </c>
      <c r="Q63" s="4" t="s">
        <v>26</v>
      </c>
      <c r="R63" s="4">
        <v>0</v>
      </c>
      <c r="S63" s="4" t="s">
        <v>147</v>
      </c>
      <c r="T63" s="4" t="s">
        <v>332</v>
      </c>
      <c r="U63" s="4">
        <v>0</v>
      </c>
      <c r="V63" s="4">
        <v>14</v>
      </c>
      <c r="W63" s="4">
        <v>71</v>
      </c>
    </row>
    <row r="64" spans="1:23" ht="11.25" customHeight="1" x14ac:dyDescent="0.3">
      <c r="A64" s="4" t="s">
        <v>21</v>
      </c>
      <c r="B64" s="4" t="s">
        <v>37</v>
      </c>
      <c r="C64" s="4" t="s">
        <v>38</v>
      </c>
      <c r="D64" s="4" t="s">
        <v>40</v>
      </c>
      <c r="E64" s="4" t="s">
        <v>25</v>
      </c>
      <c r="F64" s="4" t="s">
        <v>25</v>
      </c>
      <c r="G64" s="4" t="s">
        <v>25</v>
      </c>
      <c r="H64" s="4" t="s">
        <v>39</v>
      </c>
      <c r="I64" s="5">
        <v>44774</v>
      </c>
      <c r="J64" s="6">
        <v>0</v>
      </c>
      <c r="K64" s="6">
        <v>0</v>
      </c>
      <c r="L64" s="6">
        <v>8.0719999999999992</v>
      </c>
      <c r="M64" s="6">
        <v>8.0719999999999992</v>
      </c>
      <c r="N64" s="6">
        <v>8.0719999999999992</v>
      </c>
      <c r="O64" s="6">
        <v>8.0719999999999992</v>
      </c>
      <c r="P64" s="6">
        <v>0</v>
      </c>
      <c r="Q64" s="4" t="s">
        <v>26</v>
      </c>
      <c r="R64" s="4">
        <v>0</v>
      </c>
      <c r="S64" s="4" t="s">
        <v>148</v>
      </c>
      <c r="T64" s="4" t="s">
        <v>333</v>
      </c>
      <c r="U64" s="4">
        <v>0</v>
      </c>
      <c r="V64" s="4">
        <v>14</v>
      </c>
      <c r="W64" s="4">
        <v>71</v>
      </c>
    </row>
    <row r="65" spans="1:23" ht="11.25" customHeight="1" x14ac:dyDescent="0.3">
      <c r="A65" s="4" t="s">
        <v>21</v>
      </c>
      <c r="B65" s="4" t="s">
        <v>37</v>
      </c>
      <c r="C65" s="4" t="s">
        <v>38</v>
      </c>
      <c r="D65" s="4" t="s">
        <v>36</v>
      </c>
      <c r="E65" s="4" t="s">
        <v>25</v>
      </c>
      <c r="F65" s="4" t="s">
        <v>25</v>
      </c>
      <c r="G65" s="4" t="s">
        <v>25</v>
      </c>
      <c r="H65" s="4" t="s">
        <v>34</v>
      </c>
      <c r="I65" s="5">
        <v>44440</v>
      </c>
      <c r="J65" s="6">
        <v>0</v>
      </c>
      <c r="K65" s="6">
        <v>0</v>
      </c>
      <c r="L65" s="6">
        <v>56.646000000000001</v>
      </c>
      <c r="M65" s="6">
        <v>56.646000000000001</v>
      </c>
      <c r="N65" s="6">
        <v>56.646000000000001</v>
      </c>
      <c r="O65" s="6">
        <v>56.646000000000001</v>
      </c>
      <c r="P65" s="6">
        <v>0</v>
      </c>
      <c r="Q65" s="4" t="s">
        <v>26</v>
      </c>
      <c r="R65" s="4">
        <v>0</v>
      </c>
      <c r="S65" s="4" t="s">
        <v>113</v>
      </c>
      <c r="T65" s="4" t="s">
        <v>310</v>
      </c>
      <c r="U65" s="4">
        <v>0</v>
      </c>
      <c r="V65" s="4">
        <v>16</v>
      </c>
      <c r="W65" s="4">
        <v>72</v>
      </c>
    </row>
    <row r="66" spans="1:23" ht="11.25" customHeight="1" x14ac:dyDescent="0.3">
      <c r="A66" s="4" t="s">
        <v>21</v>
      </c>
      <c r="B66" s="4" t="s">
        <v>37</v>
      </c>
      <c r="C66" s="4" t="s">
        <v>38</v>
      </c>
      <c r="D66" s="4" t="s">
        <v>36</v>
      </c>
      <c r="E66" s="4" t="s">
        <v>25</v>
      </c>
      <c r="F66" s="4" t="s">
        <v>25</v>
      </c>
      <c r="G66" s="4" t="s">
        <v>25</v>
      </c>
      <c r="H66" s="4" t="s">
        <v>34</v>
      </c>
      <c r="I66" s="5">
        <v>44470</v>
      </c>
      <c r="J66" s="6">
        <v>0</v>
      </c>
      <c r="K66" s="6">
        <v>0</v>
      </c>
      <c r="L66" s="6">
        <v>43.018000000000001</v>
      </c>
      <c r="M66" s="6">
        <v>43.018000000000001</v>
      </c>
      <c r="N66" s="6">
        <v>43.018000000000001</v>
      </c>
      <c r="O66" s="6">
        <v>43.018000000000001</v>
      </c>
      <c r="P66" s="6">
        <v>0</v>
      </c>
      <c r="Q66" s="4" t="s">
        <v>26</v>
      </c>
      <c r="R66" s="4">
        <v>0</v>
      </c>
      <c r="S66" s="4" t="s">
        <v>114</v>
      </c>
      <c r="T66" s="4" t="s">
        <v>311</v>
      </c>
      <c r="U66" s="4">
        <v>0</v>
      </c>
      <c r="V66" s="4">
        <v>16</v>
      </c>
      <c r="W66" s="4">
        <v>72</v>
      </c>
    </row>
    <row r="67" spans="1:23" ht="11.25" customHeight="1" x14ac:dyDescent="0.3">
      <c r="A67" s="4" t="s">
        <v>21</v>
      </c>
      <c r="B67" s="4" t="s">
        <v>37</v>
      </c>
      <c r="C67" s="4" t="s">
        <v>38</v>
      </c>
      <c r="D67" s="4" t="s">
        <v>36</v>
      </c>
      <c r="E67" s="4" t="s">
        <v>25</v>
      </c>
      <c r="F67" s="4" t="s">
        <v>25</v>
      </c>
      <c r="G67" s="4" t="s">
        <v>25</v>
      </c>
      <c r="H67" s="4" t="s">
        <v>34</v>
      </c>
      <c r="I67" s="5">
        <v>44501</v>
      </c>
      <c r="J67" s="6">
        <v>0</v>
      </c>
      <c r="K67" s="6">
        <v>0</v>
      </c>
      <c r="L67" s="6">
        <v>57.822000000000003</v>
      </c>
      <c r="M67" s="6">
        <v>57.822000000000003</v>
      </c>
      <c r="N67" s="6">
        <v>57.822000000000003</v>
      </c>
      <c r="O67" s="6">
        <v>57.822000000000003</v>
      </c>
      <c r="P67" s="6">
        <v>0</v>
      </c>
      <c r="Q67" s="4" t="s">
        <v>26</v>
      </c>
      <c r="R67" s="4">
        <v>0</v>
      </c>
      <c r="S67" s="4" t="s">
        <v>115</v>
      </c>
      <c r="T67" s="4" t="s">
        <v>312</v>
      </c>
      <c r="U67" s="4">
        <v>0</v>
      </c>
      <c r="V67" s="4">
        <v>16</v>
      </c>
      <c r="W67" s="4">
        <v>72</v>
      </c>
    </row>
    <row r="68" spans="1:23" ht="11.25" customHeight="1" x14ac:dyDescent="0.3">
      <c r="A68" s="4" t="s">
        <v>21</v>
      </c>
      <c r="B68" s="4" t="s">
        <v>37</v>
      </c>
      <c r="C68" s="4" t="s">
        <v>38</v>
      </c>
      <c r="D68" s="4" t="s">
        <v>36</v>
      </c>
      <c r="E68" s="4" t="s">
        <v>25</v>
      </c>
      <c r="F68" s="4" t="s">
        <v>25</v>
      </c>
      <c r="G68" s="4" t="s">
        <v>25</v>
      </c>
      <c r="H68" s="4" t="s">
        <v>34</v>
      </c>
      <c r="I68" s="5">
        <v>44531</v>
      </c>
      <c r="J68" s="6">
        <v>0</v>
      </c>
      <c r="K68" s="6">
        <v>0</v>
      </c>
      <c r="L68" s="6">
        <v>37.273000000000003</v>
      </c>
      <c r="M68" s="6">
        <v>37.273000000000003</v>
      </c>
      <c r="N68" s="6">
        <v>37.273000000000003</v>
      </c>
      <c r="O68" s="6">
        <v>37.273000000000003</v>
      </c>
      <c r="P68" s="6">
        <v>0</v>
      </c>
      <c r="Q68" s="4" t="s">
        <v>26</v>
      </c>
      <c r="R68" s="4">
        <v>0</v>
      </c>
      <c r="S68" s="4" t="s">
        <v>116</v>
      </c>
      <c r="T68" s="4" t="s">
        <v>313</v>
      </c>
      <c r="U68" s="4">
        <v>0</v>
      </c>
      <c r="V68" s="4">
        <v>16</v>
      </c>
      <c r="W68" s="4">
        <v>72</v>
      </c>
    </row>
    <row r="69" spans="1:23" ht="11.25" customHeight="1" x14ac:dyDescent="0.3">
      <c r="A69" s="4" t="s">
        <v>21</v>
      </c>
      <c r="B69" s="4" t="s">
        <v>37</v>
      </c>
      <c r="C69" s="4" t="s">
        <v>38</v>
      </c>
      <c r="D69" s="4" t="s">
        <v>36</v>
      </c>
      <c r="E69" s="4" t="s">
        <v>25</v>
      </c>
      <c r="F69" s="4" t="s">
        <v>25</v>
      </c>
      <c r="G69" s="4" t="s">
        <v>25</v>
      </c>
      <c r="H69" s="4" t="s">
        <v>34</v>
      </c>
      <c r="I69" s="5">
        <v>44562</v>
      </c>
      <c r="J69" s="6">
        <v>0</v>
      </c>
      <c r="K69" s="6">
        <v>0</v>
      </c>
      <c r="L69" s="6">
        <v>54.472999999999999</v>
      </c>
      <c r="M69" s="6">
        <v>54.472999999999999</v>
      </c>
      <c r="N69" s="6">
        <v>54.472999999999999</v>
      </c>
      <c r="O69" s="6">
        <v>54.472999999999999</v>
      </c>
      <c r="P69" s="6">
        <v>0</v>
      </c>
      <c r="Q69" s="4" t="s">
        <v>26</v>
      </c>
      <c r="R69" s="4">
        <v>0</v>
      </c>
      <c r="S69" s="4" t="s">
        <v>117</v>
      </c>
      <c r="T69" s="4" t="s">
        <v>314</v>
      </c>
      <c r="U69" s="4">
        <v>0</v>
      </c>
      <c r="V69" s="4">
        <v>16</v>
      </c>
      <c r="W69" s="4">
        <v>72</v>
      </c>
    </row>
    <row r="70" spans="1:23" ht="11.25" customHeight="1" x14ac:dyDescent="0.3">
      <c r="A70" s="4" t="s">
        <v>21</v>
      </c>
      <c r="B70" s="4" t="s">
        <v>37</v>
      </c>
      <c r="C70" s="4" t="s">
        <v>38</v>
      </c>
      <c r="D70" s="4" t="s">
        <v>36</v>
      </c>
      <c r="E70" s="4" t="s">
        <v>25</v>
      </c>
      <c r="F70" s="4" t="s">
        <v>25</v>
      </c>
      <c r="G70" s="4" t="s">
        <v>25</v>
      </c>
      <c r="H70" s="4" t="s">
        <v>34</v>
      </c>
      <c r="I70" s="5">
        <v>44593</v>
      </c>
      <c r="J70" s="6">
        <v>0</v>
      </c>
      <c r="K70" s="6">
        <v>0</v>
      </c>
      <c r="L70" s="6">
        <v>40.412999999999997</v>
      </c>
      <c r="M70" s="6">
        <v>40.412999999999997</v>
      </c>
      <c r="N70" s="6">
        <v>40.412999999999997</v>
      </c>
      <c r="O70" s="6">
        <v>40.412999999999997</v>
      </c>
      <c r="P70" s="6">
        <v>0</v>
      </c>
      <c r="Q70" s="4" t="s">
        <v>26</v>
      </c>
      <c r="R70" s="4">
        <v>0</v>
      </c>
      <c r="S70" s="4" t="s">
        <v>118</v>
      </c>
      <c r="T70" s="4" t="s">
        <v>315</v>
      </c>
      <c r="U70" s="4">
        <v>0</v>
      </c>
      <c r="V70" s="4">
        <v>16</v>
      </c>
      <c r="W70" s="4">
        <v>72</v>
      </c>
    </row>
    <row r="71" spans="1:23" ht="11.25" customHeight="1" x14ac:dyDescent="0.3">
      <c r="A71" s="4" t="s">
        <v>21</v>
      </c>
      <c r="B71" s="4" t="s">
        <v>37</v>
      </c>
      <c r="C71" s="4" t="s">
        <v>38</v>
      </c>
      <c r="D71" s="4" t="s">
        <v>36</v>
      </c>
      <c r="E71" s="4" t="s">
        <v>25</v>
      </c>
      <c r="F71" s="4" t="s">
        <v>25</v>
      </c>
      <c r="G71" s="4" t="s">
        <v>25</v>
      </c>
      <c r="H71" s="4" t="s">
        <v>34</v>
      </c>
      <c r="I71" s="5">
        <v>44621</v>
      </c>
      <c r="J71" s="6">
        <v>0</v>
      </c>
      <c r="K71" s="6">
        <v>0</v>
      </c>
      <c r="L71" s="6">
        <v>46.277000000000001</v>
      </c>
      <c r="M71" s="6">
        <v>46.277000000000001</v>
      </c>
      <c r="N71" s="6">
        <v>46.277000000000001</v>
      </c>
      <c r="O71" s="6">
        <v>46.277000000000001</v>
      </c>
      <c r="P71" s="6">
        <v>0</v>
      </c>
      <c r="Q71" s="4" t="s">
        <v>26</v>
      </c>
      <c r="R71" s="4">
        <v>0</v>
      </c>
      <c r="S71" s="4" t="s">
        <v>119</v>
      </c>
      <c r="T71" s="4" t="s">
        <v>316</v>
      </c>
      <c r="U71" s="4">
        <v>0</v>
      </c>
      <c r="V71" s="4">
        <v>16</v>
      </c>
      <c r="W71" s="4">
        <v>72</v>
      </c>
    </row>
    <row r="72" spans="1:23" ht="11.25" customHeight="1" x14ac:dyDescent="0.3">
      <c r="A72" s="4" t="s">
        <v>21</v>
      </c>
      <c r="B72" s="4" t="s">
        <v>37</v>
      </c>
      <c r="C72" s="4" t="s">
        <v>38</v>
      </c>
      <c r="D72" s="4" t="s">
        <v>36</v>
      </c>
      <c r="E72" s="4" t="s">
        <v>25</v>
      </c>
      <c r="F72" s="4" t="s">
        <v>25</v>
      </c>
      <c r="G72" s="4" t="s">
        <v>25</v>
      </c>
      <c r="H72" s="4" t="s">
        <v>34</v>
      </c>
      <c r="I72" s="5">
        <v>44652</v>
      </c>
      <c r="J72" s="6">
        <v>0</v>
      </c>
      <c r="K72" s="6">
        <v>0</v>
      </c>
      <c r="L72" s="6">
        <v>39.561</v>
      </c>
      <c r="M72" s="6">
        <v>39.561</v>
      </c>
      <c r="N72" s="6">
        <v>39.561</v>
      </c>
      <c r="O72" s="6">
        <v>39.561</v>
      </c>
      <c r="P72" s="6">
        <v>0</v>
      </c>
      <c r="Q72" s="4" t="s">
        <v>26</v>
      </c>
      <c r="R72" s="4">
        <v>0</v>
      </c>
      <c r="S72" s="4" t="s">
        <v>120</v>
      </c>
      <c r="T72" s="4" t="s">
        <v>317</v>
      </c>
      <c r="U72" s="4">
        <v>0</v>
      </c>
      <c r="V72" s="4">
        <v>16</v>
      </c>
      <c r="W72" s="4">
        <v>72</v>
      </c>
    </row>
    <row r="73" spans="1:23" ht="11.25" customHeight="1" x14ac:dyDescent="0.3">
      <c r="A73" s="4" t="s">
        <v>21</v>
      </c>
      <c r="B73" s="4" t="s">
        <v>37</v>
      </c>
      <c r="C73" s="4" t="s">
        <v>38</v>
      </c>
      <c r="D73" s="4" t="s">
        <v>36</v>
      </c>
      <c r="E73" s="4" t="s">
        <v>25</v>
      </c>
      <c r="F73" s="4" t="s">
        <v>25</v>
      </c>
      <c r="G73" s="4" t="s">
        <v>25</v>
      </c>
      <c r="H73" s="4" t="s">
        <v>34</v>
      </c>
      <c r="I73" s="5">
        <v>44682</v>
      </c>
      <c r="J73" s="6">
        <v>0</v>
      </c>
      <c r="K73" s="6">
        <v>0</v>
      </c>
      <c r="L73" s="6">
        <v>50.875999999999998</v>
      </c>
      <c r="M73" s="6">
        <v>50.875999999999998</v>
      </c>
      <c r="N73" s="6">
        <v>50.875999999999998</v>
      </c>
      <c r="O73" s="6">
        <v>50.875999999999998</v>
      </c>
      <c r="P73" s="6">
        <v>0</v>
      </c>
      <c r="Q73" s="4" t="s">
        <v>26</v>
      </c>
      <c r="R73" s="4">
        <v>0</v>
      </c>
      <c r="S73" s="4" t="s">
        <v>121</v>
      </c>
      <c r="T73" s="4" t="s">
        <v>318</v>
      </c>
      <c r="U73" s="4">
        <v>0</v>
      </c>
      <c r="V73" s="4">
        <v>16</v>
      </c>
      <c r="W73" s="4">
        <v>72</v>
      </c>
    </row>
    <row r="74" spans="1:23" ht="11.25" customHeight="1" x14ac:dyDescent="0.3">
      <c r="A74" s="4" t="s">
        <v>21</v>
      </c>
      <c r="B74" s="4" t="s">
        <v>37</v>
      </c>
      <c r="C74" s="4" t="s">
        <v>38</v>
      </c>
      <c r="D74" s="4" t="s">
        <v>36</v>
      </c>
      <c r="E74" s="4" t="s">
        <v>25</v>
      </c>
      <c r="F74" s="4" t="s">
        <v>25</v>
      </c>
      <c r="G74" s="4" t="s">
        <v>25</v>
      </c>
      <c r="H74" s="4" t="s">
        <v>34</v>
      </c>
      <c r="I74" s="5">
        <v>44713</v>
      </c>
      <c r="J74" s="6">
        <v>0</v>
      </c>
      <c r="K74" s="6">
        <v>0</v>
      </c>
      <c r="L74" s="6">
        <v>29.097000000000001</v>
      </c>
      <c r="M74" s="6">
        <v>29.097000000000001</v>
      </c>
      <c r="N74" s="6">
        <v>29.097000000000001</v>
      </c>
      <c r="O74" s="6">
        <v>29.097000000000001</v>
      </c>
      <c r="P74" s="6">
        <v>0</v>
      </c>
      <c r="Q74" s="4" t="s">
        <v>26</v>
      </c>
      <c r="R74" s="4">
        <v>0</v>
      </c>
      <c r="S74" s="4" t="s">
        <v>122</v>
      </c>
      <c r="T74" s="4" t="s">
        <v>319</v>
      </c>
      <c r="U74" s="4">
        <v>0</v>
      </c>
      <c r="V74" s="4">
        <v>16</v>
      </c>
      <c r="W74" s="4">
        <v>72</v>
      </c>
    </row>
    <row r="75" spans="1:23" ht="11.25" customHeight="1" x14ac:dyDescent="0.3">
      <c r="A75" s="4" t="s">
        <v>21</v>
      </c>
      <c r="B75" s="4" t="s">
        <v>37</v>
      </c>
      <c r="C75" s="4" t="s">
        <v>38</v>
      </c>
      <c r="D75" s="4" t="s">
        <v>36</v>
      </c>
      <c r="E75" s="4" t="s">
        <v>25</v>
      </c>
      <c r="F75" s="4" t="s">
        <v>25</v>
      </c>
      <c r="G75" s="4" t="s">
        <v>25</v>
      </c>
      <c r="H75" s="4" t="s">
        <v>34</v>
      </c>
      <c r="I75" s="5">
        <v>44743</v>
      </c>
      <c r="J75" s="6">
        <v>0</v>
      </c>
      <c r="K75" s="6">
        <v>0</v>
      </c>
      <c r="L75" s="6">
        <v>42.253999999999998</v>
      </c>
      <c r="M75" s="6">
        <v>42.253999999999998</v>
      </c>
      <c r="N75" s="6">
        <v>42.253999999999998</v>
      </c>
      <c r="O75" s="6">
        <v>42.253999999999998</v>
      </c>
      <c r="P75" s="6">
        <v>0</v>
      </c>
      <c r="Q75" s="4" t="s">
        <v>26</v>
      </c>
      <c r="R75" s="4">
        <v>0</v>
      </c>
      <c r="S75" s="4" t="s">
        <v>123</v>
      </c>
      <c r="T75" s="4" t="s">
        <v>320</v>
      </c>
      <c r="U75" s="4">
        <v>0</v>
      </c>
      <c r="V75" s="4">
        <v>16</v>
      </c>
      <c r="W75" s="4">
        <v>72</v>
      </c>
    </row>
    <row r="76" spans="1:23" ht="11.25" customHeight="1" x14ac:dyDescent="0.3">
      <c r="A76" s="4" t="s">
        <v>21</v>
      </c>
      <c r="B76" s="4" t="s">
        <v>37</v>
      </c>
      <c r="C76" s="4" t="s">
        <v>38</v>
      </c>
      <c r="D76" s="4" t="s">
        <v>36</v>
      </c>
      <c r="E76" s="4" t="s">
        <v>25</v>
      </c>
      <c r="F76" s="4" t="s">
        <v>25</v>
      </c>
      <c r="G76" s="4" t="s">
        <v>25</v>
      </c>
      <c r="H76" s="4" t="s">
        <v>34</v>
      </c>
      <c r="I76" s="5">
        <v>44774</v>
      </c>
      <c r="J76" s="6">
        <v>0</v>
      </c>
      <c r="K76" s="6">
        <v>0</v>
      </c>
      <c r="L76" s="6">
        <v>47.945</v>
      </c>
      <c r="M76" s="6">
        <v>47.945</v>
      </c>
      <c r="N76" s="6">
        <v>47.945</v>
      </c>
      <c r="O76" s="6">
        <v>47.945</v>
      </c>
      <c r="P76" s="6">
        <v>0</v>
      </c>
      <c r="Q76" s="4" t="s">
        <v>26</v>
      </c>
      <c r="R76" s="4">
        <v>0</v>
      </c>
      <c r="S76" s="4" t="s">
        <v>124</v>
      </c>
      <c r="T76" s="4" t="s">
        <v>321</v>
      </c>
      <c r="U76" s="4">
        <v>0</v>
      </c>
      <c r="V76" s="4">
        <v>16</v>
      </c>
      <c r="W76" s="4">
        <v>72</v>
      </c>
    </row>
    <row r="77" spans="1:23" ht="11.25" customHeight="1" x14ac:dyDescent="0.3">
      <c r="A77" s="4" t="s">
        <v>21</v>
      </c>
      <c r="B77" s="4" t="s">
        <v>37</v>
      </c>
      <c r="C77" s="4" t="s">
        <v>38</v>
      </c>
      <c r="D77" s="4" t="s">
        <v>36</v>
      </c>
      <c r="E77" s="4" t="s">
        <v>25</v>
      </c>
      <c r="F77" s="4" t="s">
        <v>25</v>
      </c>
      <c r="G77" s="4" t="s">
        <v>25</v>
      </c>
      <c r="H77" s="4" t="s">
        <v>25</v>
      </c>
      <c r="I77" s="5">
        <v>44440</v>
      </c>
      <c r="J77" s="6">
        <v>329</v>
      </c>
      <c r="K77" s="6">
        <v>329</v>
      </c>
      <c r="L77" s="6">
        <v>0</v>
      </c>
      <c r="M77" s="6">
        <v>0</v>
      </c>
      <c r="N77" s="6">
        <v>0</v>
      </c>
      <c r="O77" s="6">
        <v>0</v>
      </c>
      <c r="P77" s="6">
        <v>5</v>
      </c>
      <c r="Q77" s="4" t="s">
        <v>26</v>
      </c>
      <c r="R77" s="4">
        <v>0</v>
      </c>
      <c r="S77" s="4" t="s">
        <v>125</v>
      </c>
      <c r="U77" s="4">
        <v>12</v>
      </c>
      <c r="V77" s="4">
        <v>0</v>
      </c>
      <c r="W77" s="4">
        <v>0</v>
      </c>
    </row>
    <row r="78" spans="1:23" ht="11.25" customHeight="1" x14ac:dyDescent="0.3">
      <c r="A78" s="4" t="s">
        <v>21</v>
      </c>
      <c r="B78" s="4" t="s">
        <v>37</v>
      </c>
      <c r="C78" s="4" t="s">
        <v>38</v>
      </c>
      <c r="D78" s="4" t="s">
        <v>36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44470</v>
      </c>
      <c r="J78" s="6">
        <v>320</v>
      </c>
      <c r="K78" s="6">
        <v>320</v>
      </c>
      <c r="L78" s="6">
        <v>0</v>
      </c>
      <c r="M78" s="6">
        <v>0</v>
      </c>
      <c r="N78" s="6">
        <v>0</v>
      </c>
      <c r="O78" s="6">
        <v>0</v>
      </c>
      <c r="P78" s="6">
        <v>5</v>
      </c>
      <c r="Q78" s="4" t="s">
        <v>26</v>
      </c>
      <c r="R78" s="4">
        <v>0</v>
      </c>
      <c r="S78" s="4" t="s">
        <v>126</v>
      </c>
      <c r="U78" s="4">
        <v>12</v>
      </c>
      <c r="V78" s="4">
        <v>0</v>
      </c>
      <c r="W78" s="4">
        <v>0</v>
      </c>
    </row>
    <row r="79" spans="1:23" ht="11.25" customHeight="1" x14ac:dyDescent="0.3">
      <c r="A79" s="4" t="s">
        <v>21</v>
      </c>
      <c r="B79" s="4" t="s">
        <v>37</v>
      </c>
      <c r="C79" s="4" t="s">
        <v>38</v>
      </c>
      <c r="D79" s="4" t="s">
        <v>36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44501</v>
      </c>
      <c r="J79" s="6">
        <v>341</v>
      </c>
      <c r="K79" s="6">
        <v>341</v>
      </c>
      <c r="L79" s="6">
        <v>0</v>
      </c>
      <c r="M79" s="6">
        <v>0</v>
      </c>
      <c r="N79" s="6">
        <v>0</v>
      </c>
      <c r="O79" s="6">
        <v>0</v>
      </c>
      <c r="P79" s="6">
        <v>5</v>
      </c>
      <c r="Q79" s="4" t="s">
        <v>26</v>
      </c>
      <c r="R79" s="4">
        <v>0</v>
      </c>
      <c r="S79" s="4" t="s">
        <v>127</v>
      </c>
      <c r="U79" s="4">
        <v>12</v>
      </c>
      <c r="V79" s="4">
        <v>0</v>
      </c>
      <c r="W79" s="4">
        <v>0</v>
      </c>
    </row>
    <row r="80" spans="1:23" ht="11.25" customHeight="1" x14ac:dyDescent="0.3">
      <c r="A80" s="4" t="s">
        <v>21</v>
      </c>
      <c r="B80" s="4" t="s">
        <v>37</v>
      </c>
      <c r="C80" s="4" t="s">
        <v>38</v>
      </c>
      <c r="D80" s="4" t="s">
        <v>36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44531</v>
      </c>
      <c r="J80" s="6">
        <v>337</v>
      </c>
      <c r="K80" s="6">
        <v>337</v>
      </c>
      <c r="L80" s="6">
        <v>0</v>
      </c>
      <c r="M80" s="6">
        <v>0</v>
      </c>
      <c r="N80" s="6">
        <v>0</v>
      </c>
      <c r="O80" s="6">
        <v>0</v>
      </c>
      <c r="P80" s="6">
        <v>5</v>
      </c>
      <c r="Q80" s="4" t="s">
        <v>26</v>
      </c>
      <c r="R80" s="4">
        <v>0</v>
      </c>
      <c r="S80" s="4" t="s">
        <v>128</v>
      </c>
      <c r="U80" s="4">
        <v>12</v>
      </c>
      <c r="V80" s="4">
        <v>0</v>
      </c>
      <c r="W80" s="4">
        <v>0</v>
      </c>
    </row>
    <row r="81" spans="1:23" ht="11.25" customHeight="1" x14ac:dyDescent="0.3">
      <c r="A81" s="4" t="s">
        <v>21</v>
      </c>
      <c r="B81" s="4" t="s">
        <v>37</v>
      </c>
      <c r="C81" s="4" t="s">
        <v>38</v>
      </c>
      <c r="D81" s="4" t="s">
        <v>36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44562</v>
      </c>
      <c r="J81" s="6">
        <v>349</v>
      </c>
      <c r="K81" s="6">
        <v>349</v>
      </c>
      <c r="L81" s="6">
        <v>0</v>
      </c>
      <c r="M81" s="6">
        <v>0</v>
      </c>
      <c r="N81" s="6">
        <v>0</v>
      </c>
      <c r="O81" s="6">
        <v>0</v>
      </c>
      <c r="P81" s="6">
        <v>5</v>
      </c>
      <c r="Q81" s="4" t="s">
        <v>26</v>
      </c>
      <c r="R81" s="4">
        <v>0</v>
      </c>
      <c r="S81" s="4" t="s">
        <v>129</v>
      </c>
      <c r="U81" s="4">
        <v>12</v>
      </c>
      <c r="V81" s="4">
        <v>0</v>
      </c>
      <c r="W81" s="4">
        <v>0</v>
      </c>
    </row>
    <row r="82" spans="1:23" ht="11.25" customHeight="1" x14ac:dyDescent="0.3">
      <c r="A82" s="4" t="s">
        <v>21</v>
      </c>
      <c r="B82" s="4" t="s">
        <v>37</v>
      </c>
      <c r="C82" s="4" t="s">
        <v>38</v>
      </c>
      <c r="D82" s="4" t="s">
        <v>36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44593</v>
      </c>
      <c r="J82" s="6">
        <v>331</v>
      </c>
      <c r="K82" s="6">
        <v>331</v>
      </c>
      <c r="L82" s="6">
        <v>0</v>
      </c>
      <c r="M82" s="6">
        <v>0</v>
      </c>
      <c r="N82" s="6">
        <v>0</v>
      </c>
      <c r="O82" s="6">
        <v>0</v>
      </c>
      <c r="P82" s="6">
        <v>5</v>
      </c>
      <c r="Q82" s="4" t="s">
        <v>26</v>
      </c>
      <c r="R82" s="4">
        <v>0</v>
      </c>
      <c r="S82" s="4" t="s">
        <v>130</v>
      </c>
      <c r="U82" s="4">
        <v>12</v>
      </c>
      <c r="V82" s="4">
        <v>0</v>
      </c>
      <c r="W82" s="4">
        <v>0</v>
      </c>
    </row>
    <row r="83" spans="1:23" ht="11.25" customHeight="1" x14ac:dyDescent="0.3">
      <c r="A83" s="4" t="s">
        <v>21</v>
      </c>
      <c r="B83" s="4" t="s">
        <v>37</v>
      </c>
      <c r="C83" s="4" t="s">
        <v>38</v>
      </c>
      <c r="D83" s="4" t="s">
        <v>36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44621</v>
      </c>
      <c r="J83" s="6">
        <v>339</v>
      </c>
      <c r="K83" s="6">
        <v>339</v>
      </c>
      <c r="L83" s="6">
        <v>0</v>
      </c>
      <c r="M83" s="6">
        <v>0</v>
      </c>
      <c r="N83" s="6">
        <v>0</v>
      </c>
      <c r="O83" s="6">
        <v>0</v>
      </c>
      <c r="P83" s="6">
        <v>5</v>
      </c>
      <c r="Q83" s="4" t="s">
        <v>26</v>
      </c>
      <c r="R83" s="4">
        <v>0</v>
      </c>
      <c r="S83" s="4" t="s">
        <v>131</v>
      </c>
      <c r="U83" s="4">
        <v>12</v>
      </c>
      <c r="V83" s="4">
        <v>0</v>
      </c>
      <c r="W83" s="4">
        <v>0</v>
      </c>
    </row>
    <row r="84" spans="1:23" ht="11.25" customHeight="1" x14ac:dyDescent="0.3">
      <c r="A84" s="4" t="s">
        <v>21</v>
      </c>
      <c r="B84" s="4" t="s">
        <v>37</v>
      </c>
      <c r="C84" s="4" t="s">
        <v>38</v>
      </c>
      <c r="D84" s="4" t="s">
        <v>36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44652</v>
      </c>
      <c r="J84" s="6">
        <v>337</v>
      </c>
      <c r="K84" s="6">
        <v>337</v>
      </c>
      <c r="L84" s="6">
        <v>0</v>
      </c>
      <c r="M84" s="6">
        <v>0</v>
      </c>
      <c r="N84" s="6">
        <v>0</v>
      </c>
      <c r="O84" s="6">
        <v>0</v>
      </c>
      <c r="P84" s="6">
        <v>5</v>
      </c>
      <c r="Q84" s="4" t="s">
        <v>26</v>
      </c>
      <c r="R84" s="4">
        <v>0</v>
      </c>
      <c r="S84" s="4" t="s">
        <v>132</v>
      </c>
      <c r="U84" s="4">
        <v>12</v>
      </c>
      <c r="V84" s="4">
        <v>0</v>
      </c>
      <c r="W84" s="4">
        <v>0</v>
      </c>
    </row>
    <row r="85" spans="1:23" ht="11.25" customHeight="1" x14ac:dyDescent="0.3">
      <c r="A85" s="4" t="s">
        <v>21</v>
      </c>
      <c r="B85" s="4" t="s">
        <v>37</v>
      </c>
      <c r="C85" s="4" t="s">
        <v>38</v>
      </c>
      <c r="D85" s="4" t="s">
        <v>36</v>
      </c>
      <c r="E85" s="4" t="s">
        <v>25</v>
      </c>
      <c r="F85" s="4" t="s">
        <v>25</v>
      </c>
      <c r="G85" s="4" t="s">
        <v>25</v>
      </c>
      <c r="H85" s="4" t="s">
        <v>25</v>
      </c>
      <c r="I85" s="5">
        <v>44682</v>
      </c>
      <c r="J85" s="6">
        <v>343</v>
      </c>
      <c r="K85" s="6">
        <v>343</v>
      </c>
      <c r="L85" s="6">
        <v>0</v>
      </c>
      <c r="M85" s="6">
        <v>0</v>
      </c>
      <c r="N85" s="6">
        <v>0</v>
      </c>
      <c r="O85" s="6">
        <v>0</v>
      </c>
      <c r="P85" s="6">
        <v>5</v>
      </c>
      <c r="Q85" s="4" t="s">
        <v>26</v>
      </c>
      <c r="R85" s="4">
        <v>0</v>
      </c>
      <c r="S85" s="4" t="s">
        <v>133</v>
      </c>
      <c r="U85" s="4">
        <v>12</v>
      </c>
      <c r="V85" s="4">
        <v>0</v>
      </c>
      <c r="W85" s="4">
        <v>0</v>
      </c>
    </row>
    <row r="86" spans="1:23" ht="11.25" customHeight="1" x14ac:dyDescent="0.3">
      <c r="A86" s="4" t="s">
        <v>21</v>
      </c>
      <c r="B86" s="4" t="s">
        <v>37</v>
      </c>
      <c r="C86" s="4" t="s">
        <v>38</v>
      </c>
      <c r="D86" s="4" t="s">
        <v>36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44713</v>
      </c>
      <c r="J86" s="6">
        <v>316</v>
      </c>
      <c r="K86" s="6">
        <v>316</v>
      </c>
      <c r="L86" s="6">
        <v>0</v>
      </c>
      <c r="M86" s="6">
        <v>0</v>
      </c>
      <c r="N86" s="6">
        <v>0</v>
      </c>
      <c r="O86" s="6">
        <v>0</v>
      </c>
      <c r="P86" s="6">
        <v>5</v>
      </c>
      <c r="Q86" s="4" t="s">
        <v>26</v>
      </c>
      <c r="R86" s="4">
        <v>0</v>
      </c>
      <c r="S86" s="4" t="s">
        <v>134</v>
      </c>
      <c r="U86" s="4">
        <v>12</v>
      </c>
      <c r="V86" s="4">
        <v>0</v>
      </c>
      <c r="W86" s="4">
        <v>0</v>
      </c>
    </row>
    <row r="87" spans="1:23" ht="11.25" customHeight="1" x14ac:dyDescent="0.3">
      <c r="A87" s="4" t="s">
        <v>21</v>
      </c>
      <c r="B87" s="4" t="s">
        <v>37</v>
      </c>
      <c r="C87" s="4" t="s">
        <v>38</v>
      </c>
      <c r="D87" s="4" t="s">
        <v>36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44743</v>
      </c>
      <c r="J87" s="6">
        <v>319</v>
      </c>
      <c r="K87" s="6">
        <v>319</v>
      </c>
      <c r="L87" s="6">
        <v>0</v>
      </c>
      <c r="M87" s="6">
        <v>0</v>
      </c>
      <c r="N87" s="6">
        <v>0</v>
      </c>
      <c r="O87" s="6">
        <v>0</v>
      </c>
      <c r="P87" s="6">
        <v>5</v>
      </c>
      <c r="Q87" s="4" t="s">
        <v>26</v>
      </c>
      <c r="R87" s="4">
        <v>0</v>
      </c>
      <c r="S87" s="4" t="s">
        <v>135</v>
      </c>
      <c r="U87" s="4">
        <v>12</v>
      </c>
      <c r="V87" s="4">
        <v>0</v>
      </c>
      <c r="W87" s="4">
        <v>0</v>
      </c>
    </row>
    <row r="88" spans="1:23" ht="11.25" customHeight="1" x14ac:dyDescent="0.3">
      <c r="A88" s="4" t="s">
        <v>21</v>
      </c>
      <c r="B88" s="4" t="s">
        <v>37</v>
      </c>
      <c r="C88" s="4" t="s">
        <v>38</v>
      </c>
      <c r="D88" s="4" t="s">
        <v>36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44774</v>
      </c>
      <c r="J88" s="6">
        <v>305</v>
      </c>
      <c r="K88" s="6">
        <v>305</v>
      </c>
      <c r="L88" s="6">
        <v>0</v>
      </c>
      <c r="M88" s="6">
        <v>0</v>
      </c>
      <c r="N88" s="6">
        <v>0</v>
      </c>
      <c r="O88" s="6">
        <v>0</v>
      </c>
      <c r="P88" s="6">
        <v>5</v>
      </c>
      <c r="Q88" s="4" t="s">
        <v>26</v>
      </c>
      <c r="R88" s="4">
        <v>0</v>
      </c>
      <c r="S88" s="4" t="s">
        <v>136</v>
      </c>
      <c r="U88" s="4">
        <v>12</v>
      </c>
      <c r="V88" s="4">
        <v>0</v>
      </c>
      <c r="W88" s="4">
        <v>0</v>
      </c>
    </row>
    <row r="89" spans="1:23" ht="11.25" customHeight="1" x14ac:dyDescent="0.3">
      <c r="A89" s="4" t="s">
        <v>21</v>
      </c>
      <c r="B89" s="4" t="s">
        <v>37</v>
      </c>
      <c r="C89" s="4" t="s">
        <v>38</v>
      </c>
      <c r="D89" s="4" t="s">
        <v>36</v>
      </c>
      <c r="E89" s="4" t="s">
        <v>25</v>
      </c>
      <c r="F89" s="4" t="s">
        <v>25</v>
      </c>
      <c r="G89" s="4" t="s">
        <v>25</v>
      </c>
      <c r="H89" s="4" t="s">
        <v>39</v>
      </c>
      <c r="I89" s="5">
        <v>44440</v>
      </c>
      <c r="J89" s="6">
        <v>0</v>
      </c>
      <c r="K89" s="6">
        <v>0</v>
      </c>
      <c r="L89" s="6">
        <v>2.9660000000000002</v>
      </c>
      <c r="M89" s="6">
        <v>2.9660000000000002</v>
      </c>
      <c r="N89" s="6">
        <v>2.9660000000000002</v>
      </c>
      <c r="O89" s="6">
        <v>2.9660000000000002</v>
      </c>
      <c r="P89" s="6">
        <v>0</v>
      </c>
      <c r="Q89" s="4" t="s">
        <v>26</v>
      </c>
      <c r="R89" s="4">
        <v>0</v>
      </c>
      <c r="S89" s="4" t="s">
        <v>137</v>
      </c>
      <c r="T89" s="4" t="s">
        <v>322</v>
      </c>
      <c r="U89" s="4">
        <v>0</v>
      </c>
      <c r="V89" s="4">
        <v>14</v>
      </c>
      <c r="W89" s="4">
        <v>71</v>
      </c>
    </row>
    <row r="90" spans="1:23" ht="11.25" customHeight="1" x14ac:dyDescent="0.3">
      <c r="A90" s="4" t="s">
        <v>21</v>
      </c>
      <c r="B90" s="4" t="s">
        <v>37</v>
      </c>
      <c r="C90" s="4" t="s">
        <v>38</v>
      </c>
      <c r="D90" s="4" t="s">
        <v>36</v>
      </c>
      <c r="E90" s="4" t="s">
        <v>25</v>
      </c>
      <c r="F90" s="4" t="s">
        <v>25</v>
      </c>
      <c r="G90" s="4" t="s">
        <v>25</v>
      </c>
      <c r="H90" s="4" t="s">
        <v>39</v>
      </c>
      <c r="I90" s="5">
        <v>44470</v>
      </c>
      <c r="J90" s="6">
        <v>0</v>
      </c>
      <c r="K90" s="6">
        <v>0</v>
      </c>
      <c r="L90" s="6">
        <v>1.655</v>
      </c>
      <c r="M90" s="6">
        <v>1.655</v>
      </c>
      <c r="N90" s="6">
        <v>1.655</v>
      </c>
      <c r="O90" s="6">
        <v>1.655</v>
      </c>
      <c r="P90" s="6">
        <v>0</v>
      </c>
      <c r="Q90" s="4" t="s">
        <v>26</v>
      </c>
      <c r="R90" s="4">
        <v>0</v>
      </c>
      <c r="S90" s="4" t="s">
        <v>138</v>
      </c>
      <c r="T90" s="4" t="s">
        <v>323</v>
      </c>
      <c r="U90" s="4">
        <v>0</v>
      </c>
      <c r="V90" s="4">
        <v>14</v>
      </c>
      <c r="W90" s="4">
        <v>71</v>
      </c>
    </row>
    <row r="91" spans="1:23" ht="11.25" customHeight="1" x14ac:dyDescent="0.3">
      <c r="A91" s="4" t="s">
        <v>21</v>
      </c>
      <c r="B91" s="4" t="s">
        <v>37</v>
      </c>
      <c r="C91" s="4" t="s">
        <v>38</v>
      </c>
      <c r="D91" s="4" t="s">
        <v>36</v>
      </c>
      <c r="E91" s="4" t="s">
        <v>25</v>
      </c>
      <c r="F91" s="4" t="s">
        <v>25</v>
      </c>
      <c r="G91" s="4" t="s">
        <v>25</v>
      </c>
      <c r="H91" s="4" t="s">
        <v>39</v>
      </c>
      <c r="I91" s="5">
        <v>44501</v>
      </c>
      <c r="J91" s="6">
        <v>0</v>
      </c>
      <c r="K91" s="6">
        <v>0</v>
      </c>
      <c r="L91" s="6">
        <v>2.52</v>
      </c>
      <c r="M91" s="6">
        <v>2.52</v>
      </c>
      <c r="N91" s="6">
        <v>2.52</v>
      </c>
      <c r="O91" s="6">
        <v>2.52</v>
      </c>
      <c r="P91" s="6">
        <v>0</v>
      </c>
      <c r="Q91" s="4" t="s">
        <v>26</v>
      </c>
      <c r="R91" s="4">
        <v>0</v>
      </c>
      <c r="S91" s="4" t="s">
        <v>139</v>
      </c>
      <c r="T91" s="4" t="s">
        <v>324</v>
      </c>
      <c r="U91" s="4">
        <v>0</v>
      </c>
      <c r="V91" s="4">
        <v>14</v>
      </c>
      <c r="W91" s="4">
        <v>71</v>
      </c>
    </row>
    <row r="92" spans="1:23" ht="11.25" customHeight="1" x14ac:dyDescent="0.3">
      <c r="A92" s="4" t="s">
        <v>21</v>
      </c>
      <c r="B92" s="4" t="s">
        <v>37</v>
      </c>
      <c r="C92" s="4" t="s">
        <v>38</v>
      </c>
      <c r="D92" s="4" t="s">
        <v>36</v>
      </c>
      <c r="E92" s="4" t="s">
        <v>25</v>
      </c>
      <c r="F92" s="4" t="s">
        <v>25</v>
      </c>
      <c r="G92" s="4" t="s">
        <v>25</v>
      </c>
      <c r="H92" s="4" t="s">
        <v>39</v>
      </c>
      <c r="I92" s="5">
        <v>44531</v>
      </c>
      <c r="J92" s="6">
        <v>0</v>
      </c>
      <c r="K92" s="6">
        <v>0</v>
      </c>
      <c r="L92" s="6">
        <v>1.0369999999999999</v>
      </c>
      <c r="M92" s="6">
        <v>1.0369999999999999</v>
      </c>
      <c r="N92" s="6">
        <v>1.0369999999999999</v>
      </c>
      <c r="O92" s="6">
        <v>1.0369999999999999</v>
      </c>
      <c r="P92" s="6">
        <v>0</v>
      </c>
      <c r="Q92" s="4" t="s">
        <v>26</v>
      </c>
      <c r="R92" s="4">
        <v>0</v>
      </c>
      <c r="S92" s="4" t="s">
        <v>140</v>
      </c>
      <c r="T92" s="4" t="s">
        <v>325</v>
      </c>
      <c r="U92" s="4">
        <v>0</v>
      </c>
      <c r="V92" s="4">
        <v>14</v>
      </c>
      <c r="W92" s="4">
        <v>71</v>
      </c>
    </row>
    <row r="93" spans="1:23" ht="11.25" customHeight="1" x14ac:dyDescent="0.3">
      <c r="A93" s="4" t="s">
        <v>21</v>
      </c>
      <c r="B93" s="4" t="s">
        <v>37</v>
      </c>
      <c r="C93" s="4" t="s">
        <v>38</v>
      </c>
      <c r="D93" s="4" t="s">
        <v>36</v>
      </c>
      <c r="E93" s="4" t="s">
        <v>25</v>
      </c>
      <c r="F93" s="4" t="s">
        <v>25</v>
      </c>
      <c r="G93" s="4" t="s">
        <v>25</v>
      </c>
      <c r="H93" s="4" t="s">
        <v>39</v>
      </c>
      <c r="I93" s="5">
        <v>44562</v>
      </c>
      <c r="J93" s="6">
        <v>0</v>
      </c>
      <c r="K93" s="6">
        <v>0</v>
      </c>
      <c r="L93" s="6">
        <v>1.9650000000000001</v>
      </c>
      <c r="M93" s="6">
        <v>1.9650000000000001</v>
      </c>
      <c r="N93" s="6">
        <v>1.9650000000000001</v>
      </c>
      <c r="O93" s="6">
        <v>1.9650000000000001</v>
      </c>
      <c r="P93" s="6">
        <v>0</v>
      </c>
      <c r="Q93" s="4" t="s">
        <v>26</v>
      </c>
      <c r="R93" s="4">
        <v>0</v>
      </c>
      <c r="S93" s="4" t="s">
        <v>141</v>
      </c>
      <c r="T93" s="4" t="s">
        <v>326</v>
      </c>
      <c r="U93" s="4">
        <v>0</v>
      </c>
      <c r="V93" s="4">
        <v>14</v>
      </c>
      <c r="W93" s="4">
        <v>71</v>
      </c>
    </row>
    <row r="94" spans="1:23" ht="11.25" customHeight="1" x14ac:dyDescent="0.3">
      <c r="A94" s="4" t="s">
        <v>21</v>
      </c>
      <c r="B94" s="4" t="s">
        <v>37</v>
      </c>
      <c r="C94" s="4" t="s">
        <v>38</v>
      </c>
      <c r="D94" s="4" t="s">
        <v>36</v>
      </c>
      <c r="E94" s="4" t="s">
        <v>25</v>
      </c>
      <c r="F94" s="4" t="s">
        <v>25</v>
      </c>
      <c r="G94" s="4" t="s">
        <v>25</v>
      </c>
      <c r="H94" s="4" t="s">
        <v>39</v>
      </c>
      <c r="I94" s="5">
        <v>44593</v>
      </c>
      <c r="J94" s="6">
        <v>0</v>
      </c>
      <c r="K94" s="6">
        <v>0</v>
      </c>
      <c r="L94" s="6">
        <v>0.86</v>
      </c>
      <c r="M94" s="6">
        <v>0.86</v>
      </c>
      <c r="N94" s="6">
        <v>0.86</v>
      </c>
      <c r="O94" s="6">
        <v>0.86</v>
      </c>
      <c r="P94" s="6">
        <v>0</v>
      </c>
      <c r="Q94" s="4" t="s">
        <v>26</v>
      </c>
      <c r="R94" s="4">
        <v>0</v>
      </c>
      <c r="S94" s="4" t="s">
        <v>142</v>
      </c>
      <c r="T94" s="4" t="s">
        <v>327</v>
      </c>
      <c r="U94" s="4">
        <v>0</v>
      </c>
      <c r="V94" s="4">
        <v>14</v>
      </c>
      <c r="W94" s="4">
        <v>71</v>
      </c>
    </row>
    <row r="95" spans="1:23" ht="11.25" customHeight="1" x14ac:dyDescent="0.3">
      <c r="A95" s="4" t="s">
        <v>21</v>
      </c>
      <c r="B95" s="4" t="s">
        <v>37</v>
      </c>
      <c r="C95" s="4" t="s">
        <v>38</v>
      </c>
      <c r="D95" s="4" t="s">
        <v>36</v>
      </c>
      <c r="E95" s="4" t="s">
        <v>25</v>
      </c>
      <c r="F95" s="4" t="s">
        <v>25</v>
      </c>
      <c r="G95" s="4" t="s">
        <v>25</v>
      </c>
      <c r="H95" s="4" t="s">
        <v>39</v>
      </c>
      <c r="I95" s="5">
        <v>44621</v>
      </c>
      <c r="J95" s="6">
        <v>0</v>
      </c>
      <c r="K95" s="6">
        <v>0</v>
      </c>
      <c r="L95" s="6">
        <v>1.3620000000000001</v>
      </c>
      <c r="M95" s="6">
        <v>1.3620000000000001</v>
      </c>
      <c r="N95" s="6">
        <v>1.3620000000000001</v>
      </c>
      <c r="O95" s="6">
        <v>1.3620000000000001</v>
      </c>
      <c r="P95" s="6">
        <v>0</v>
      </c>
      <c r="Q95" s="4" t="s">
        <v>26</v>
      </c>
      <c r="R95" s="4">
        <v>0</v>
      </c>
      <c r="S95" s="4" t="s">
        <v>143</v>
      </c>
      <c r="T95" s="4" t="s">
        <v>328</v>
      </c>
      <c r="U95" s="4">
        <v>0</v>
      </c>
      <c r="V95" s="4">
        <v>14</v>
      </c>
      <c r="W95" s="4">
        <v>71</v>
      </c>
    </row>
    <row r="96" spans="1:23" ht="11.25" customHeight="1" x14ac:dyDescent="0.3">
      <c r="A96" s="4" t="s">
        <v>21</v>
      </c>
      <c r="B96" s="4" t="s">
        <v>37</v>
      </c>
      <c r="C96" s="4" t="s">
        <v>38</v>
      </c>
      <c r="D96" s="4" t="s">
        <v>36</v>
      </c>
      <c r="E96" s="4" t="s">
        <v>25</v>
      </c>
      <c r="F96" s="4" t="s">
        <v>25</v>
      </c>
      <c r="G96" s="4" t="s">
        <v>25</v>
      </c>
      <c r="H96" s="4" t="s">
        <v>39</v>
      </c>
      <c r="I96" s="5">
        <v>44652</v>
      </c>
      <c r="J96" s="6">
        <v>0</v>
      </c>
      <c r="K96" s="6">
        <v>0</v>
      </c>
      <c r="L96" s="6">
        <v>0.72299999999999998</v>
      </c>
      <c r="M96" s="6">
        <v>0.72299999999999998</v>
      </c>
      <c r="N96" s="6">
        <v>0.72299999999999998</v>
      </c>
      <c r="O96" s="6">
        <v>0.72299999999999998</v>
      </c>
      <c r="P96" s="6">
        <v>0</v>
      </c>
      <c r="Q96" s="4" t="s">
        <v>26</v>
      </c>
      <c r="R96" s="4">
        <v>0</v>
      </c>
      <c r="S96" s="4" t="s">
        <v>144</v>
      </c>
      <c r="T96" s="4" t="s">
        <v>329</v>
      </c>
      <c r="U96" s="4">
        <v>0</v>
      </c>
      <c r="V96" s="4">
        <v>14</v>
      </c>
      <c r="W96" s="4">
        <v>71</v>
      </c>
    </row>
    <row r="97" spans="1:23" ht="11.25" customHeight="1" x14ac:dyDescent="0.3">
      <c r="A97" s="4" t="s">
        <v>21</v>
      </c>
      <c r="B97" s="4" t="s">
        <v>37</v>
      </c>
      <c r="C97" s="4" t="s">
        <v>38</v>
      </c>
      <c r="D97" s="4" t="s">
        <v>36</v>
      </c>
      <c r="E97" s="4" t="s">
        <v>25</v>
      </c>
      <c r="F97" s="4" t="s">
        <v>25</v>
      </c>
      <c r="G97" s="4" t="s">
        <v>25</v>
      </c>
      <c r="H97" s="4" t="s">
        <v>39</v>
      </c>
      <c r="I97" s="5">
        <v>44682</v>
      </c>
      <c r="J97" s="6">
        <v>0</v>
      </c>
      <c r="K97" s="6">
        <v>0</v>
      </c>
      <c r="L97" s="6">
        <v>2.0659999999999998</v>
      </c>
      <c r="M97" s="6">
        <v>2.0659999999999998</v>
      </c>
      <c r="N97" s="6">
        <v>2.0659999999999998</v>
      </c>
      <c r="O97" s="6">
        <v>2.0659999999999998</v>
      </c>
      <c r="P97" s="6">
        <v>0</v>
      </c>
      <c r="Q97" s="4" t="s">
        <v>26</v>
      </c>
      <c r="R97" s="4">
        <v>0</v>
      </c>
      <c r="S97" s="4" t="s">
        <v>145</v>
      </c>
      <c r="T97" s="4" t="s">
        <v>330</v>
      </c>
      <c r="U97" s="4">
        <v>0</v>
      </c>
      <c r="V97" s="4">
        <v>14</v>
      </c>
      <c r="W97" s="4">
        <v>71</v>
      </c>
    </row>
    <row r="98" spans="1:23" ht="11.25" customHeight="1" x14ac:dyDescent="0.3">
      <c r="A98" s="4" t="s">
        <v>21</v>
      </c>
      <c r="B98" s="4" t="s">
        <v>37</v>
      </c>
      <c r="C98" s="4" t="s">
        <v>38</v>
      </c>
      <c r="D98" s="4" t="s">
        <v>36</v>
      </c>
      <c r="E98" s="4" t="s">
        <v>25</v>
      </c>
      <c r="F98" s="4" t="s">
        <v>25</v>
      </c>
      <c r="G98" s="4" t="s">
        <v>25</v>
      </c>
      <c r="H98" s="4" t="s">
        <v>39</v>
      </c>
      <c r="I98" s="5">
        <v>44713</v>
      </c>
      <c r="J98" s="6">
        <v>0</v>
      </c>
      <c r="K98" s="6">
        <v>0</v>
      </c>
      <c r="L98" s="6">
        <v>0.219</v>
      </c>
      <c r="M98" s="6">
        <v>0.219</v>
      </c>
      <c r="N98" s="6">
        <v>0.219</v>
      </c>
      <c r="O98" s="6">
        <v>0.219</v>
      </c>
      <c r="P98" s="6">
        <v>0</v>
      </c>
      <c r="Q98" s="4" t="s">
        <v>26</v>
      </c>
      <c r="R98" s="4">
        <v>0</v>
      </c>
      <c r="S98" s="4" t="s">
        <v>146</v>
      </c>
      <c r="T98" s="4" t="s">
        <v>331</v>
      </c>
      <c r="U98" s="4">
        <v>0</v>
      </c>
      <c r="V98" s="4">
        <v>14</v>
      </c>
      <c r="W98" s="4">
        <v>71</v>
      </c>
    </row>
    <row r="99" spans="1:23" ht="11.25" customHeight="1" x14ac:dyDescent="0.3">
      <c r="A99" s="4" t="s">
        <v>21</v>
      </c>
      <c r="B99" s="4" t="s">
        <v>37</v>
      </c>
      <c r="C99" s="4" t="s">
        <v>38</v>
      </c>
      <c r="D99" s="4" t="s">
        <v>36</v>
      </c>
      <c r="E99" s="4" t="s">
        <v>25</v>
      </c>
      <c r="F99" s="4" t="s">
        <v>25</v>
      </c>
      <c r="G99" s="4" t="s">
        <v>25</v>
      </c>
      <c r="H99" s="4" t="s">
        <v>39</v>
      </c>
      <c r="I99" s="5">
        <v>44743</v>
      </c>
      <c r="J99" s="6">
        <v>0</v>
      </c>
      <c r="K99" s="6">
        <v>0</v>
      </c>
      <c r="L99" s="6">
        <v>1.641</v>
      </c>
      <c r="M99" s="6">
        <v>1.641</v>
      </c>
      <c r="N99" s="6">
        <v>1.641</v>
      </c>
      <c r="O99" s="6">
        <v>1.641</v>
      </c>
      <c r="P99" s="6">
        <v>0</v>
      </c>
      <c r="Q99" s="4" t="s">
        <v>26</v>
      </c>
      <c r="R99" s="4">
        <v>0</v>
      </c>
      <c r="S99" s="4" t="s">
        <v>147</v>
      </c>
      <c r="T99" s="4" t="s">
        <v>332</v>
      </c>
      <c r="U99" s="4">
        <v>0</v>
      </c>
      <c r="V99" s="4">
        <v>14</v>
      </c>
      <c r="W99" s="4">
        <v>71</v>
      </c>
    </row>
    <row r="100" spans="1:23" ht="11.25" customHeight="1" x14ac:dyDescent="0.3">
      <c r="A100" s="4" t="s">
        <v>21</v>
      </c>
      <c r="B100" s="4" t="s">
        <v>37</v>
      </c>
      <c r="C100" s="4" t="s">
        <v>38</v>
      </c>
      <c r="D100" s="4" t="s">
        <v>36</v>
      </c>
      <c r="E100" s="4" t="s">
        <v>25</v>
      </c>
      <c r="F100" s="4" t="s">
        <v>25</v>
      </c>
      <c r="G100" s="4" t="s">
        <v>25</v>
      </c>
      <c r="H100" s="4" t="s">
        <v>39</v>
      </c>
      <c r="I100" s="5">
        <v>44774</v>
      </c>
      <c r="J100" s="6">
        <v>0</v>
      </c>
      <c r="K100" s="6">
        <v>0</v>
      </c>
      <c r="L100" s="6">
        <v>1.976</v>
      </c>
      <c r="M100" s="6">
        <v>1.976</v>
      </c>
      <c r="N100" s="6">
        <v>1.976</v>
      </c>
      <c r="O100" s="6">
        <v>1.976</v>
      </c>
      <c r="P100" s="6">
        <v>0</v>
      </c>
      <c r="Q100" s="4" t="s">
        <v>26</v>
      </c>
      <c r="R100" s="4">
        <v>0</v>
      </c>
      <c r="S100" s="4" t="s">
        <v>148</v>
      </c>
      <c r="T100" s="4" t="s">
        <v>333</v>
      </c>
      <c r="U100" s="4">
        <v>0</v>
      </c>
      <c r="V100" s="4">
        <v>14</v>
      </c>
      <c r="W100" s="4">
        <v>71</v>
      </c>
    </row>
    <row r="101" spans="1:23" ht="11.25" customHeight="1" x14ac:dyDescent="0.3">
      <c r="A101" s="4" t="s">
        <v>21</v>
      </c>
      <c r="B101" s="4" t="s">
        <v>22</v>
      </c>
      <c r="C101" s="4" t="s">
        <v>33</v>
      </c>
      <c r="D101" s="4" t="s">
        <v>24</v>
      </c>
      <c r="E101" s="4" t="s">
        <v>24</v>
      </c>
      <c r="F101" s="4" t="s">
        <v>25</v>
      </c>
      <c r="G101" s="4" t="s">
        <v>25</v>
      </c>
      <c r="H101" s="4" t="s">
        <v>34</v>
      </c>
      <c r="I101" s="5">
        <v>44440</v>
      </c>
      <c r="J101" s="6">
        <v>0</v>
      </c>
      <c r="K101" s="6">
        <v>0</v>
      </c>
      <c r="L101" s="6">
        <v>0.15</v>
      </c>
      <c r="M101" s="6">
        <v>0.15</v>
      </c>
      <c r="N101" s="6">
        <v>0.15</v>
      </c>
      <c r="O101" s="6">
        <v>0.15</v>
      </c>
      <c r="P101" s="6">
        <v>0</v>
      </c>
      <c r="Q101" s="4" t="s">
        <v>26</v>
      </c>
      <c r="R101" s="4">
        <v>0</v>
      </c>
      <c r="S101" s="4" t="s">
        <v>149</v>
      </c>
      <c r="T101" s="4" t="s">
        <v>338</v>
      </c>
      <c r="U101" s="4">
        <v>0</v>
      </c>
      <c r="V101" s="4">
        <v>30</v>
      </c>
      <c r="W101" s="4">
        <v>75</v>
      </c>
    </row>
    <row r="102" spans="1:23" ht="11.25" customHeight="1" x14ac:dyDescent="0.3">
      <c r="A102" s="4" t="s">
        <v>21</v>
      </c>
      <c r="B102" s="4" t="s">
        <v>22</v>
      </c>
      <c r="C102" s="4" t="s">
        <v>33</v>
      </c>
      <c r="D102" s="4" t="s">
        <v>24</v>
      </c>
      <c r="E102" s="4" t="s">
        <v>24</v>
      </c>
      <c r="F102" s="4" t="s">
        <v>25</v>
      </c>
      <c r="G102" s="4" t="s">
        <v>25</v>
      </c>
      <c r="H102" s="4" t="s">
        <v>34</v>
      </c>
      <c r="I102" s="5">
        <v>44470</v>
      </c>
      <c r="J102" s="6">
        <v>0</v>
      </c>
      <c r="K102" s="6">
        <v>0</v>
      </c>
      <c r="L102" s="6">
        <v>0.76800000000000002</v>
      </c>
      <c r="M102" s="6">
        <v>0.76800000000000002</v>
      </c>
      <c r="N102" s="6">
        <v>0.76800000000000002</v>
      </c>
      <c r="O102" s="6">
        <v>0.76800000000000002</v>
      </c>
      <c r="P102" s="6">
        <v>0</v>
      </c>
      <c r="Q102" s="4" t="s">
        <v>26</v>
      </c>
      <c r="R102" s="4">
        <v>0</v>
      </c>
      <c r="S102" s="4" t="s">
        <v>150</v>
      </c>
      <c r="T102" s="4" t="s">
        <v>339</v>
      </c>
      <c r="U102" s="4">
        <v>0</v>
      </c>
      <c r="V102" s="4">
        <v>30</v>
      </c>
      <c r="W102" s="4">
        <v>75</v>
      </c>
    </row>
    <row r="103" spans="1:23" ht="11.25" customHeight="1" x14ac:dyDescent="0.3">
      <c r="A103" s="4" t="s">
        <v>21</v>
      </c>
      <c r="B103" s="4" t="s">
        <v>22</v>
      </c>
      <c r="C103" s="4" t="s">
        <v>33</v>
      </c>
      <c r="D103" s="4" t="s">
        <v>24</v>
      </c>
      <c r="E103" s="4" t="s">
        <v>24</v>
      </c>
      <c r="F103" s="4" t="s">
        <v>25</v>
      </c>
      <c r="G103" s="4" t="s">
        <v>25</v>
      </c>
      <c r="H103" s="4" t="s">
        <v>34</v>
      </c>
      <c r="I103" s="5">
        <v>44501</v>
      </c>
      <c r="J103" s="6">
        <v>0</v>
      </c>
      <c r="K103" s="6">
        <v>0</v>
      </c>
      <c r="L103" s="6">
        <v>0.51400000000000001</v>
      </c>
      <c r="M103" s="6">
        <v>0.51400000000000001</v>
      </c>
      <c r="N103" s="6">
        <v>0.51400000000000001</v>
      </c>
      <c r="O103" s="6">
        <v>0.51400000000000001</v>
      </c>
      <c r="P103" s="6">
        <v>0</v>
      </c>
      <c r="Q103" s="4" t="s">
        <v>26</v>
      </c>
      <c r="R103" s="4">
        <v>0</v>
      </c>
      <c r="S103" s="4" t="s">
        <v>151</v>
      </c>
      <c r="T103" s="4" t="s">
        <v>340</v>
      </c>
      <c r="U103" s="4">
        <v>0</v>
      </c>
      <c r="V103" s="4">
        <v>30</v>
      </c>
      <c r="W103" s="4">
        <v>75</v>
      </c>
    </row>
    <row r="104" spans="1:23" ht="11.25" customHeight="1" x14ac:dyDescent="0.3">
      <c r="A104" s="4" t="s">
        <v>21</v>
      </c>
      <c r="B104" s="4" t="s">
        <v>22</v>
      </c>
      <c r="C104" s="4" t="s">
        <v>33</v>
      </c>
      <c r="D104" s="4" t="s">
        <v>24</v>
      </c>
      <c r="E104" s="4" t="s">
        <v>24</v>
      </c>
      <c r="F104" s="4" t="s">
        <v>25</v>
      </c>
      <c r="G104" s="4" t="s">
        <v>25</v>
      </c>
      <c r="H104" s="4" t="s">
        <v>34</v>
      </c>
      <c r="I104" s="5">
        <v>44531</v>
      </c>
      <c r="J104" s="6">
        <v>0</v>
      </c>
      <c r="K104" s="6">
        <v>0</v>
      </c>
      <c r="L104" s="6">
        <v>0.625</v>
      </c>
      <c r="M104" s="6">
        <v>0.625</v>
      </c>
      <c r="N104" s="6">
        <v>0.625</v>
      </c>
      <c r="O104" s="6">
        <v>0.625</v>
      </c>
      <c r="P104" s="6">
        <v>0</v>
      </c>
      <c r="Q104" s="4" t="s">
        <v>26</v>
      </c>
      <c r="R104" s="4">
        <v>0</v>
      </c>
      <c r="S104" s="4" t="s">
        <v>152</v>
      </c>
      <c r="T104" s="4" t="s">
        <v>341</v>
      </c>
      <c r="U104" s="4">
        <v>0</v>
      </c>
      <c r="V104" s="4">
        <v>30</v>
      </c>
      <c r="W104" s="4">
        <v>75</v>
      </c>
    </row>
    <row r="105" spans="1:23" ht="11.25" customHeight="1" x14ac:dyDescent="0.3">
      <c r="A105" s="4" t="s">
        <v>21</v>
      </c>
      <c r="B105" s="4" t="s">
        <v>22</v>
      </c>
      <c r="C105" s="4" t="s">
        <v>33</v>
      </c>
      <c r="D105" s="4" t="s">
        <v>24</v>
      </c>
      <c r="E105" s="4" t="s">
        <v>24</v>
      </c>
      <c r="F105" s="4" t="s">
        <v>25</v>
      </c>
      <c r="G105" s="4" t="s">
        <v>25</v>
      </c>
      <c r="H105" s="4" t="s">
        <v>34</v>
      </c>
      <c r="I105" s="5">
        <v>44562</v>
      </c>
      <c r="J105" s="6">
        <v>0</v>
      </c>
      <c r="K105" s="6">
        <v>0</v>
      </c>
      <c r="L105" s="6">
        <v>1.395</v>
      </c>
      <c r="M105" s="6">
        <v>1.395</v>
      </c>
      <c r="N105" s="6">
        <v>1.395</v>
      </c>
      <c r="O105" s="6">
        <v>1.395</v>
      </c>
      <c r="P105" s="6">
        <v>0</v>
      </c>
      <c r="Q105" s="4" t="s">
        <v>26</v>
      </c>
      <c r="R105" s="4">
        <v>0</v>
      </c>
      <c r="S105" s="4" t="s">
        <v>153</v>
      </c>
      <c r="T105" s="4" t="s">
        <v>342</v>
      </c>
      <c r="U105" s="4">
        <v>0</v>
      </c>
      <c r="V105" s="4">
        <v>30</v>
      </c>
      <c r="W105" s="4">
        <v>75</v>
      </c>
    </row>
    <row r="106" spans="1:23" ht="11.25" customHeight="1" x14ac:dyDescent="0.3">
      <c r="A106" s="4" t="s">
        <v>21</v>
      </c>
      <c r="B106" s="4" t="s">
        <v>22</v>
      </c>
      <c r="C106" s="4" t="s">
        <v>33</v>
      </c>
      <c r="D106" s="4" t="s">
        <v>24</v>
      </c>
      <c r="E106" s="4" t="s">
        <v>24</v>
      </c>
      <c r="F106" s="4" t="s">
        <v>25</v>
      </c>
      <c r="G106" s="4" t="s">
        <v>25</v>
      </c>
      <c r="H106" s="4" t="s">
        <v>34</v>
      </c>
      <c r="I106" s="5">
        <v>44593</v>
      </c>
      <c r="J106" s="6">
        <v>0</v>
      </c>
      <c r="K106" s="6">
        <v>0</v>
      </c>
      <c r="L106" s="6">
        <v>0.75900000000000001</v>
      </c>
      <c r="M106" s="6">
        <v>0.75900000000000001</v>
      </c>
      <c r="N106" s="6">
        <v>0.75900000000000001</v>
      </c>
      <c r="O106" s="6">
        <v>0.75900000000000001</v>
      </c>
      <c r="P106" s="6">
        <v>0</v>
      </c>
      <c r="Q106" s="4" t="s">
        <v>26</v>
      </c>
      <c r="R106" s="4">
        <v>0</v>
      </c>
      <c r="S106" s="4" t="s">
        <v>154</v>
      </c>
      <c r="T106" s="4" t="s">
        <v>343</v>
      </c>
      <c r="U106" s="4">
        <v>0</v>
      </c>
      <c r="V106" s="4">
        <v>30</v>
      </c>
      <c r="W106" s="4">
        <v>75</v>
      </c>
    </row>
    <row r="107" spans="1:23" ht="11.25" customHeight="1" x14ac:dyDescent="0.3">
      <c r="A107" s="4" t="s">
        <v>21</v>
      </c>
      <c r="B107" s="4" t="s">
        <v>22</v>
      </c>
      <c r="C107" s="4" t="s">
        <v>33</v>
      </c>
      <c r="D107" s="4" t="s">
        <v>24</v>
      </c>
      <c r="E107" s="4" t="s">
        <v>24</v>
      </c>
      <c r="F107" s="4" t="s">
        <v>25</v>
      </c>
      <c r="G107" s="4" t="s">
        <v>25</v>
      </c>
      <c r="H107" s="4" t="s">
        <v>34</v>
      </c>
      <c r="I107" s="5">
        <v>44621</v>
      </c>
      <c r="J107" s="6">
        <v>0</v>
      </c>
      <c r="K107" s="6">
        <v>0</v>
      </c>
      <c r="L107" s="6">
        <v>0.64500000000000002</v>
      </c>
      <c r="M107" s="6">
        <v>0.64500000000000002</v>
      </c>
      <c r="N107" s="6">
        <v>0.64500000000000002</v>
      </c>
      <c r="O107" s="6">
        <v>0.64500000000000002</v>
      </c>
      <c r="P107" s="6">
        <v>0</v>
      </c>
      <c r="Q107" s="4" t="s">
        <v>26</v>
      </c>
      <c r="R107" s="4">
        <v>0</v>
      </c>
      <c r="S107" s="4" t="s">
        <v>155</v>
      </c>
      <c r="T107" s="4" t="s">
        <v>344</v>
      </c>
      <c r="U107" s="4">
        <v>0</v>
      </c>
      <c r="V107" s="4">
        <v>30</v>
      </c>
      <c r="W107" s="4">
        <v>75</v>
      </c>
    </row>
    <row r="108" spans="1:23" ht="11.25" customHeight="1" x14ac:dyDescent="0.3">
      <c r="A108" s="4" t="s">
        <v>21</v>
      </c>
      <c r="B108" s="4" t="s">
        <v>22</v>
      </c>
      <c r="C108" s="4" t="s">
        <v>33</v>
      </c>
      <c r="D108" s="4" t="s">
        <v>24</v>
      </c>
      <c r="E108" s="4" t="s">
        <v>24</v>
      </c>
      <c r="F108" s="4" t="s">
        <v>25</v>
      </c>
      <c r="G108" s="4" t="s">
        <v>25</v>
      </c>
      <c r="H108" s="4" t="s">
        <v>34</v>
      </c>
      <c r="I108" s="5">
        <v>44652</v>
      </c>
      <c r="J108" s="6">
        <v>0</v>
      </c>
      <c r="K108" s="6">
        <v>0</v>
      </c>
      <c r="L108" s="6">
        <v>0.85399999999999998</v>
      </c>
      <c r="M108" s="6">
        <v>0.85399999999999998</v>
      </c>
      <c r="N108" s="6">
        <v>0.85399999999999998</v>
      </c>
      <c r="O108" s="6">
        <v>0.85399999999999998</v>
      </c>
      <c r="P108" s="6">
        <v>0</v>
      </c>
      <c r="Q108" s="4" t="s">
        <v>26</v>
      </c>
      <c r="R108" s="4">
        <v>0</v>
      </c>
      <c r="S108" s="4" t="s">
        <v>156</v>
      </c>
      <c r="T108" s="4" t="s">
        <v>345</v>
      </c>
      <c r="U108" s="4">
        <v>0</v>
      </c>
      <c r="V108" s="4">
        <v>30</v>
      </c>
      <c r="W108" s="4">
        <v>75</v>
      </c>
    </row>
    <row r="109" spans="1:23" ht="11.25" customHeight="1" x14ac:dyDescent="0.3">
      <c r="A109" s="4" t="s">
        <v>21</v>
      </c>
      <c r="B109" s="4" t="s">
        <v>22</v>
      </c>
      <c r="C109" s="4" t="s">
        <v>33</v>
      </c>
      <c r="D109" s="4" t="s">
        <v>24</v>
      </c>
      <c r="E109" s="4" t="s">
        <v>24</v>
      </c>
      <c r="F109" s="4" t="s">
        <v>25</v>
      </c>
      <c r="G109" s="4" t="s">
        <v>25</v>
      </c>
      <c r="H109" s="4" t="s">
        <v>34</v>
      </c>
      <c r="I109" s="5">
        <v>44682</v>
      </c>
      <c r="J109" s="6">
        <v>0</v>
      </c>
      <c r="K109" s="6">
        <v>0</v>
      </c>
      <c r="L109" s="6">
        <v>0.95899999999999996</v>
      </c>
      <c r="M109" s="6">
        <v>0.95899999999999996</v>
      </c>
      <c r="N109" s="6">
        <v>0.95899999999999996</v>
      </c>
      <c r="O109" s="6">
        <v>0.95899999999999996</v>
      </c>
      <c r="P109" s="6">
        <v>0</v>
      </c>
      <c r="Q109" s="4" t="s">
        <v>26</v>
      </c>
      <c r="R109" s="4">
        <v>0</v>
      </c>
      <c r="S109" s="4" t="s">
        <v>157</v>
      </c>
      <c r="T109" s="4" t="s">
        <v>346</v>
      </c>
      <c r="U109" s="4">
        <v>0</v>
      </c>
      <c r="V109" s="4">
        <v>30</v>
      </c>
      <c r="W109" s="4">
        <v>75</v>
      </c>
    </row>
    <row r="110" spans="1:23" ht="11.25" customHeight="1" x14ac:dyDescent="0.3">
      <c r="A110" s="4" t="s">
        <v>21</v>
      </c>
      <c r="B110" s="4" t="s">
        <v>22</v>
      </c>
      <c r="C110" s="4" t="s">
        <v>33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34</v>
      </c>
      <c r="I110" s="5">
        <v>44713</v>
      </c>
      <c r="J110" s="6">
        <v>0</v>
      </c>
      <c r="K110" s="6">
        <v>0</v>
      </c>
      <c r="L110" s="6">
        <v>0.72699999999999998</v>
      </c>
      <c r="M110" s="6">
        <v>0.72699999999999998</v>
      </c>
      <c r="N110" s="6">
        <v>0.72699999999999998</v>
      </c>
      <c r="O110" s="6">
        <v>0.72699999999999998</v>
      </c>
      <c r="P110" s="6">
        <v>0</v>
      </c>
      <c r="Q110" s="4" t="s">
        <v>26</v>
      </c>
      <c r="R110" s="4">
        <v>0</v>
      </c>
      <c r="S110" s="4" t="s">
        <v>158</v>
      </c>
      <c r="T110" s="4" t="s">
        <v>347</v>
      </c>
      <c r="U110" s="4">
        <v>0</v>
      </c>
      <c r="V110" s="4">
        <v>30</v>
      </c>
      <c r="W110" s="4">
        <v>75</v>
      </c>
    </row>
    <row r="111" spans="1:23" ht="11.25" customHeight="1" x14ac:dyDescent="0.3">
      <c r="A111" s="4" t="s">
        <v>21</v>
      </c>
      <c r="B111" s="4" t="s">
        <v>22</v>
      </c>
      <c r="C111" s="4" t="s">
        <v>33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34</v>
      </c>
      <c r="I111" s="5">
        <v>44743</v>
      </c>
      <c r="J111" s="6">
        <v>0</v>
      </c>
      <c r="K111" s="6">
        <v>0</v>
      </c>
      <c r="L111" s="6">
        <v>0.58499999999999996</v>
      </c>
      <c r="M111" s="6">
        <v>0.58499999999999996</v>
      </c>
      <c r="N111" s="6">
        <v>0.58499999999999996</v>
      </c>
      <c r="O111" s="6">
        <v>0.58499999999999996</v>
      </c>
      <c r="P111" s="6">
        <v>0</v>
      </c>
      <c r="Q111" s="4" t="s">
        <v>26</v>
      </c>
      <c r="R111" s="4">
        <v>0</v>
      </c>
      <c r="S111" s="4" t="s">
        <v>159</v>
      </c>
      <c r="T111" s="4" t="s">
        <v>348</v>
      </c>
      <c r="U111" s="4">
        <v>0</v>
      </c>
      <c r="V111" s="4">
        <v>30</v>
      </c>
      <c r="W111" s="4">
        <v>75</v>
      </c>
    </row>
    <row r="112" spans="1:23" ht="11.25" customHeight="1" x14ac:dyDescent="0.3">
      <c r="A112" s="4" t="s">
        <v>21</v>
      </c>
      <c r="B112" s="4" t="s">
        <v>22</v>
      </c>
      <c r="C112" s="4" t="s">
        <v>33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34</v>
      </c>
      <c r="I112" s="5">
        <v>44774</v>
      </c>
      <c r="J112" s="6">
        <v>0</v>
      </c>
      <c r="K112" s="6">
        <v>0</v>
      </c>
      <c r="L112" s="6">
        <v>0.68</v>
      </c>
      <c r="M112" s="6">
        <v>0.68</v>
      </c>
      <c r="N112" s="6">
        <v>0.68</v>
      </c>
      <c r="O112" s="6">
        <v>0.68</v>
      </c>
      <c r="P112" s="6">
        <v>0</v>
      </c>
      <c r="Q112" s="4" t="s">
        <v>26</v>
      </c>
      <c r="R112" s="4">
        <v>0</v>
      </c>
      <c r="S112" s="4" t="s">
        <v>160</v>
      </c>
      <c r="T112" s="4" t="s">
        <v>349</v>
      </c>
      <c r="U112" s="4">
        <v>0</v>
      </c>
      <c r="V112" s="4">
        <v>30</v>
      </c>
      <c r="W112" s="4">
        <v>75</v>
      </c>
    </row>
    <row r="113" spans="1:23" ht="11.25" customHeight="1" x14ac:dyDescent="0.3">
      <c r="A113" s="4" t="s">
        <v>21</v>
      </c>
      <c r="B113" s="4" t="s">
        <v>22</v>
      </c>
      <c r="C113" s="4" t="s">
        <v>33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42</v>
      </c>
      <c r="I113" s="5">
        <v>44470</v>
      </c>
      <c r="J113" s="6">
        <v>0</v>
      </c>
      <c r="K113" s="6">
        <v>0</v>
      </c>
      <c r="L113" s="6">
        <v>0.04</v>
      </c>
      <c r="M113" s="6">
        <v>0.04</v>
      </c>
      <c r="N113" s="6">
        <v>0.04</v>
      </c>
      <c r="O113" s="6">
        <v>0.04</v>
      </c>
      <c r="P113" s="6">
        <v>0</v>
      </c>
      <c r="Q113" s="4" t="s">
        <v>26</v>
      </c>
      <c r="R113" s="4">
        <v>0</v>
      </c>
      <c r="S113" s="4" t="s">
        <v>161</v>
      </c>
      <c r="T113" s="4" t="s">
        <v>350</v>
      </c>
      <c r="U113" s="4">
        <v>0</v>
      </c>
      <c r="V113" s="4">
        <v>28</v>
      </c>
      <c r="W113" s="4">
        <v>74</v>
      </c>
    </row>
    <row r="114" spans="1:23" ht="11.25" customHeight="1" x14ac:dyDescent="0.3">
      <c r="A114" s="4" t="s">
        <v>21</v>
      </c>
      <c r="B114" s="4" t="s">
        <v>22</v>
      </c>
      <c r="C114" s="4" t="s">
        <v>33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42</v>
      </c>
      <c r="I114" s="5">
        <v>44501</v>
      </c>
      <c r="J114" s="6">
        <v>0</v>
      </c>
      <c r="K114" s="6">
        <v>0</v>
      </c>
      <c r="L114" s="6">
        <v>2.7E-2</v>
      </c>
      <c r="M114" s="6">
        <v>2.7E-2</v>
      </c>
      <c r="N114" s="6">
        <v>2.7E-2</v>
      </c>
      <c r="O114" s="6">
        <v>2.7E-2</v>
      </c>
      <c r="P114" s="6">
        <v>0</v>
      </c>
      <c r="Q114" s="4" t="s">
        <v>26</v>
      </c>
      <c r="R114" s="4">
        <v>0</v>
      </c>
      <c r="S114" s="4" t="s">
        <v>162</v>
      </c>
      <c r="T114" s="4" t="s">
        <v>351</v>
      </c>
      <c r="U114" s="4">
        <v>0</v>
      </c>
      <c r="V114" s="4">
        <v>28</v>
      </c>
      <c r="W114" s="4">
        <v>74</v>
      </c>
    </row>
    <row r="115" spans="1:23" ht="11.25" customHeight="1" x14ac:dyDescent="0.3">
      <c r="A115" s="4" t="s">
        <v>21</v>
      </c>
      <c r="B115" s="4" t="s">
        <v>22</v>
      </c>
      <c r="C115" s="4" t="s">
        <v>33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42</v>
      </c>
      <c r="I115" s="5">
        <v>44531</v>
      </c>
      <c r="J115" s="6">
        <v>0</v>
      </c>
      <c r="K115" s="6">
        <v>0</v>
      </c>
      <c r="L115" s="6">
        <v>3.5000000000000003E-2</v>
      </c>
      <c r="M115" s="6">
        <v>3.5000000000000003E-2</v>
      </c>
      <c r="N115" s="6">
        <v>3.5000000000000003E-2</v>
      </c>
      <c r="O115" s="6">
        <v>3.5000000000000003E-2</v>
      </c>
      <c r="P115" s="6">
        <v>0</v>
      </c>
      <c r="Q115" s="4" t="s">
        <v>26</v>
      </c>
      <c r="R115" s="4">
        <v>0</v>
      </c>
      <c r="S115" s="4" t="s">
        <v>163</v>
      </c>
      <c r="T115" s="4" t="s">
        <v>352</v>
      </c>
      <c r="U115" s="4">
        <v>0</v>
      </c>
      <c r="V115" s="4">
        <v>28</v>
      </c>
      <c r="W115" s="4">
        <v>74</v>
      </c>
    </row>
    <row r="116" spans="1:23" ht="11.25" customHeight="1" x14ac:dyDescent="0.3">
      <c r="A116" s="4" t="s">
        <v>21</v>
      </c>
      <c r="B116" s="4" t="s">
        <v>22</v>
      </c>
      <c r="C116" s="4" t="s">
        <v>33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42</v>
      </c>
      <c r="I116" s="5">
        <v>44562</v>
      </c>
      <c r="J116" s="6">
        <v>0</v>
      </c>
      <c r="K116" s="6">
        <v>0</v>
      </c>
      <c r="L116" s="6">
        <v>5.0999999999999997E-2</v>
      </c>
      <c r="M116" s="6">
        <v>5.0999999999999997E-2</v>
      </c>
      <c r="N116" s="6">
        <v>5.0999999999999997E-2</v>
      </c>
      <c r="O116" s="6">
        <v>5.0999999999999997E-2</v>
      </c>
      <c r="P116" s="6">
        <v>0</v>
      </c>
      <c r="Q116" s="4" t="s">
        <v>26</v>
      </c>
      <c r="R116" s="4">
        <v>0</v>
      </c>
      <c r="S116" s="4" t="s">
        <v>164</v>
      </c>
      <c r="T116" s="4" t="s">
        <v>353</v>
      </c>
      <c r="U116" s="4">
        <v>0</v>
      </c>
      <c r="V116" s="4">
        <v>28</v>
      </c>
      <c r="W116" s="4">
        <v>74</v>
      </c>
    </row>
    <row r="117" spans="1:23" ht="11.25" customHeight="1" x14ac:dyDescent="0.3">
      <c r="A117" s="4" t="s">
        <v>21</v>
      </c>
      <c r="B117" s="4" t="s">
        <v>22</v>
      </c>
      <c r="C117" s="4" t="s">
        <v>33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42</v>
      </c>
      <c r="I117" s="5">
        <v>44593</v>
      </c>
      <c r="J117" s="6">
        <v>0</v>
      </c>
      <c r="K117" s="6">
        <v>0</v>
      </c>
      <c r="L117" s="6">
        <v>1.2999999999999999E-2</v>
      </c>
      <c r="M117" s="6">
        <v>1.2999999999999999E-2</v>
      </c>
      <c r="N117" s="6">
        <v>1.2999999999999999E-2</v>
      </c>
      <c r="O117" s="6">
        <v>1.2999999999999999E-2</v>
      </c>
      <c r="P117" s="6">
        <v>0</v>
      </c>
      <c r="Q117" s="4" t="s">
        <v>26</v>
      </c>
      <c r="R117" s="4">
        <v>0</v>
      </c>
      <c r="S117" s="4" t="s">
        <v>165</v>
      </c>
      <c r="T117" s="4" t="s">
        <v>354</v>
      </c>
      <c r="U117" s="4">
        <v>0</v>
      </c>
      <c r="V117" s="4">
        <v>28</v>
      </c>
      <c r="W117" s="4">
        <v>74</v>
      </c>
    </row>
    <row r="118" spans="1:23" ht="11.25" customHeight="1" x14ac:dyDescent="0.3">
      <c r="A118" s="4" t="s">
        <v>21</v>
      </c>
      <c r="B118" s="4" t="s">
        <v>22</v>
      </c>
      <c r="C118" s="4" t="s">
        <v>33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42</v>
      </c>
      <c r="I118" s="5">
        <v>44652</v>
      </c>
      <c r="J118" s="6">
        <v>0</v>
      </c>
      <c r="K118" s="6">
        <v>0</v>
      </c>
      <c r="L118" s="6">
        <v>2.5999999999999999E-2</v>
      </c>
      <c r="M118" s="6">
        <v>2.5999999999999999E-2</v>
      </c>
      <c r="N118" s="6">
        <v>2.5999999999999999E-2</v>
      </c>
      <c r="O118" s="6">
        <v>2.5999999999999999E-2</v>
      </c>
      <c r="P118" s="6">
        <v>0</v>
      </c>
      <c r="Q118" s="4" t="s">
        <v>26</v>
      </c>
      <c r="R118" s="4">
        <v>0</v>
      </c>
      <c r="S118" s="4" t="s">
        <v>166</v>
      </c>
      <c r="T118" s="4" t="s">
        <v>355</v>
      </c>
      <c r="U118" s="4">
        <v>0</v>
      </c>
      <c r="V118" s="4">
        <v>28</v>
      </c>
      <c r="W118" s="4">
        <v>74</v>
      </c>
    </row>
    <row r="119" spans="1:23" ht="11.25" customHeight="1" x14ac:dyDescent="0.3">
      <c r="A119" s="4" t="s">
        <v>21</v>
      </c>
      <c r="B119" s="4" t="s">
        <v>22</v>
      </c>
      <c r="C119" s="4" t="s">
        <v>33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42</v>
      </c>
      <c r="I119" s="5">
        <v>44682</v>
      </c>
      <c r="J119" s="6">
        <v>0</v>
      </c>
      <c r="K119" s="6">
        <v>0</v>
      </c>
      <c r="L119" s="6">
        <v>3.5999999999999997E-2</v>
      </c>
      <c r="M119" s="6">
        <v>3.5999999999999997E-2</v>
      </c>
      <c r="N119" s="6">
        <v>3.5999999999999997E-2</v>
      </c>
      <c r="O119" s="6">
        <v>3.5999999999999997E-2</v>
      </c>
      <c r="P119" s="6">
        <v>0</v>
      </c>
      <c r="Q119" s="4" t="s">
        <v>26</v>
      </c>
      <c r="R119" s="4">
        <v>0</v>
      </c>
      <c r="S119" s="4" t="s">
        <v>167</v>
      </c>
      <c r="T119" s="4" t="s">
        <v>356</v>
      </c>
      <c r="U119" s="4">
        <v>0</v>
      </c>
      <c r="V119" s="4">
        <v>28</v>
      </c>
      <c r="W119" s="4">
        <v>74</v>
      </c>
    </row>
    <row r="120" spans="1:23" ht="11.25" customHeight="1" x14ac:dyDescent="0.3">
      <c r="A120" s="4" t="s">
        <v>21</v>
      </c>
      <c r="B120" s="4" t="s">
        <v>22</v>
      </c>
      <c r="C120" s="4" t="s">
        <v>33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42</v>
      </c>
      <c r="I120" s="5">
        <v>44713</v>
      </c>
      <c r="J120" s="6">
        <v>0</v>
      </c>
      <c r="K120" s="6">
        <v>0</v>
      </c>
      <c r="L120" s="6">
        <v>4.8000000000000001E-2</v>
      </c>
      <c r="M120" s="6">
        <v>4.8000000000000001E-2</v>
      </c>
      <c r="N120" s="6">
        <v>4.8000000000000001E-2</v>
      </c>
      <c r="O120" s="6">
        <v>4.8000000000000001E-2</v>
      </c>
      <c r="P120" s="6">
        <v>0</v>
      </c>
      <c r="Q120" s="4" t="s">
        <v>26</v>
      </c>
      <c r="R120" s="4">
        <v>0</v>
      </c>
      <c r="S120" s="4" t="s">
        <v>168</v>
      </c>
      <c r="T120" s="4" t="s">
        <v>357</v>
      </c>
      <c r="U120" s="4">
        <v>0</v>
      </c>
      <c r="V120" s="4">
        <v>28</v>
      </c>
      <c r="W120" s="4">
        <v>74</v>
      </c>
    </row>
    <row r="121" spans="1:23" ht="11.25" customHeight="1" x14ac:dyDescent="0.3">
      <c r="A121" s="4" t="s">
        <v>21</v>
      </c>
      <c r="B121" s="4" t="s">
        <v>22</v>
      </c>
      <c r="C121" s="4" t="s">
        <v>33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42</v>
      </c>
      <c r="I121" s="5">
        <v>44743</v>
      </c>
      <c r="J121" s="6">
        <v>0</v>
      </c>
      <c r="K121" s="6">
        <v>0</v>
      </c>
      <c r="L121" s="6">
        <v>3.5999999999999997E-2</v>
      </c>
      <c r="M121" s="6">
        <v>3.5999999999999997E-2</v>
      </c>
      <c r="N121" s="6">
        <v>3.5999999999999997E-2</v>
      </c>
      <c r="O121" s="6">
        <v>3.5999999999999997E-2</v>
      </c>
      <c r="P121" s="6">
        <v>0</v>
      </c>
      <c r="Q121" s="4" t="s">
        <v>26</v>
      </c>
      <c r="R121" s="4">
        <v>0</v>
      </c>
      <c r="S121" s="4" t="s">
        <v>169</v>
      </c>
      <c r="T121" s="4" t="s">
        <v>358</v>
      </c>
      <c r="U121" s="4">
        <v>0</v>
      </c>
      <c r="V121" s="4">
        <v>28</v>
      </c>
      <c r="W121" s="4">
        <v>74</v>
      </c>
    </row>
    <row r="122" spans="1:23" ht="11.25" customHeight="1" x14ac:dyDescent="0.3">
      <c r="A122" s="4" t="s">
        <v>21</v>
      </c>
      <c r="B122" s="4" t="s">
        <v>22</v>
      </c>
      <c r="C122" s="4" t="s">
        <v>33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42</v>
      </c>
      <c r="I122" s="5">
        <v>44774</v>
      </c>
      <c r="J122" s="6">
        <v>0</v>
      </c>
      <c r="K122" s="6">
        <v>0</v>
      </c>
      <c r="L122" s="6">
        <v>2.8000000000000001E-2</v>
      </c>
      <c r="M122" s="6">
        <v>2.8000000000000001E-2</v>
      </c>
      <c r="N122" s="6">
        <v>2.8000000000000001E-2</v>
      </c>
      <c r="O122" s="6">
        <v>2.8000000000000001E-2</v>
      </c>
      <c r="P122" s="6">
        <v>0</v>
      </c>
      <c r="Q122" s="4" t="s">
        <v>26</v>
      </c>
      <c r="R122" s="4">
        <v>0</v>
      </c>
      <c r="S122" s="4" t="s">
        <v>170</v>
      </c>
      <c r="T122" s="4" t="s">
        <v>359</v>
      </c>
      <c r="U122" s="4">
        <v>0</v>
      </c>
      <c r="V122" s="4">
        <v>28</v>
      </c>
      <c r="W122" s="4">
        <v>74</v>
      </c>
    </row>
    <row r="123" spans="1:23" ht="11.25" customHeight="1" x14ac:dyDescent="0.3">
      <c r="A123" s="4" t="s">
        <v>21</v>
      </c>
      <c r="B123" s="4" t="s">
        <v>22</v>
      </c>
      <c r="C123" s="4" t="s">
        <v>33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39</v>
      </c>
      <c r="I123" s="5">
        <v>44470</v>
      </c>
      <c r="J123" s="6">
        <v>0</v>
      </c>
      <c r="K123" s="6">
        <v>0</v>
      </c>
      <c r="L123" s="6">
        <v>6.6000000000000003E-2</v>
      </c>
      <c r="M123" s="6">
        <v>6.6000000000000003E-2</v>
      </c>
      <c r="N123" s="6">
        <v>6.6000000000000003E-2</v>
      </c>
      <c r="O123" s="6">
        <v>6.6000000000000003E-2</v>
      </c>
      <c r="P123" s="6">
        <v>0</v>
      </c>
      <c r="Q123" s="4" t="s">
        <v>26</v>
      </c>
      <c r="R123" s="4">
        <v>0</v>
      </c>
      <c r="S123" s="4" t="s">
        <v>171</v>
      </c>
      <c r="T123" s="4" t="s">
        <v>360</v>
      </c>
      <c r="U123" s="4">
        <v>0</v>
      </c>
      <c r="V123" s="4">
        <v>26</v>
      </c>
      <c r="W123" s="4">
        <v>73</v>
      </c>
    </row>
    <row r="124" spans="1:23" ht="11.25" customHeight="1" x14ac:dyDescent="0.3">
      <c r="A124" s="4" t="s">
        <v>21</v>
      </c>
      <c r="B124" s="4" t="s">
        <v>22</v>
      </c>
      <c r="C124" s="4" t="s">
        <v>33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39</v>
      </c>
      <c r="I124" s="5">
        <v>44501</v>
      </c>
      <c r="J124" s="6">
        <v>0</v>
      </c>
      <c r="K124" s="6">
        <v>0</v>
      </c>
      <c r="L124" s="6">
        <v>3.3000000000000002E-2</v>
      </c>
      <c r="M124" s="6">
        <v>3.3000000000000002E-2</v>
      </c>
      <c r="N124" s="6">
        <v>3.3000000000000002E-2</v>
      </c>
      <c r="O124" s="6">
        <v>3.3000000000000002E-2</v>
      </c>
      <c r="P124" s="6">
        <v>0</v>
      </c>
      <c r="Q124" s="4" t="s">
        <v>26</v>
      </c>
      <c r="R124" s="4">
        <v>0</v>
      </c>
      <c r="S124" s="4" t="s">
        <v>172</v>
      </c>
      <c r="T124" s="4" t="s">
        <v>361</v>
      </c>
      <c r="U124" s="4">
        <v>0</v>
      </c>
      <c r="V124" s="4">
        <v>26</v>
      </c>
      <c r="W124" s="4">
        <v>73</v>
      </c>
    </row>
    <row r="125" spans="1:23" ht="11.25" customHeight="1" x14ac:dyDescent="0.3">
      <c r="A125" s="4" t="s">
        <v>21</v>
      </c>
      <c r="B125" s="4" t="s">
        <v>22</v>
      </c>
      <c r="C125" s="4" t="s">
        <v>33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39</v>
      </c>
      <c r="I125" s="5">
        <v>44531</v>
      </c>
      <c r="J125" s="6">
        <v>0</v>
      </c>
      <c r="K125" s="6">
        <v>0</v>
      </c>
      <c r="L125" s="6">
        <v>4.5999999999999999E-2</v>
      </c>
      <c r="M125" s="6">
        <v>4.5999999999999999E-2</v>
      </c>
      <c r="N125" s="6">
        <v>4.5999999999999999E-2</v>
      </c>
      <c r="O125" s="6">
        <v>4.5999999999999999E-2</v>
      </c>
      <c r="P125" s="6">
        <v>0</v>
      </c>
      <c r="Q125" s="4" t="s">
        <v>26</v>
      </c>
      <c r="R125" s="4">
        <v>0</v>
      </c>
      <c r="S125" s="4" t="s">
        <v>173</v>
      </c>
      <c r="T125" s="4" t="s">
        <v>362</v>
      </c>
      <c r="U125" s="4">
        <v>0</v>
      </c>
      <c r="V125" s="4">
        <v>26</v>
      </c>
      <c r="W125" s="4">
        <v>73</v>
      </c>
    </row>
    <row r="126" spans="1:23" ht="11.25" customHeight="1" x14ac:dyDescent="0.3">
      <c r="A126" s="4" t="s">
        <v>21</v>
      </c>
      <c r="B126" s="4" t="s">
        <v>22</v>
      </c>
      <c r="C126" s="4" t="s">
        <v>33</v>
      </c>
      <c r="D126" s="4" t="s">
        <v>24</v>
      </c>
      <c r="E126" s="4" t="s">
        <v>24</v>
      </c>
      <c r="F126" s="4" t="s">
        <v>25</v>
      </c>
      <c r="G126" s="4" t="s">
        <v>25</v>
      </c>
      <c r="H126" s="4" t="s">
        <v>39</v>
      </c>
      <c r="I126" s="5">
        <v>44562</v>
      </c>
      <c r="J126" s="6">
        <v>0</v>
      </c>
      <c r="K126" s="6">
        <v>0</v>
      </c>
      <c r="L126" s="6">
        <v>6.8000000000000005E-2</v>
      </c>
      <c r="M126" s="6">
        <v>6.8000000000000005E-2</v>
      </c>
      <c r="N126" s="6">
        <v>6.8000000000000005E-2</v>
      </c>
      <c r="O126" s="6">
        <v>6.8000000000000005E-2</v>
      </c>
      <c r="P126" s="6">
        <v>0</v>
      </c>
      <c r="Q126" s="4" t="s">
        <v>26</v>
      </c>
      <c r="R126" s="4">
        <v>0</v>
      </c>
      <c r="S126" s="4" t="s">
        <v>174</v>
      </c>
      <c r="T126" s="4" t="s">
        <v>363</v>
      </c>
      <c r="U126" s="4">
        <v>0</v>
      </c>
      <c r="V126" s="4">
        <v>26</v>
      </c>
      <c r="W126" s="4">
        <v>73</v>
      </c>
    </row>
    <row r="127" spans="1:23" ht="11.25" customHeight="1" x14ac:dyDescent="0.3">
      <c r="A127" s="4" t="s">
        <v>21</v>
      </c>
      <c r="B127" s="4" t="s">
        <v>22</v>
      </c>
      <c r="C127" s="4" t="s">
        <v>33</v>
      </c>
      <c r="D127" s="4" t="s">
        <v>24</v>
      </c>
      <c r="E127" s="4" t="s">
        <v>24</v>
      </c>
      <c r="F127" s="4" t="s">
        <v>25</v>
      </c>
      <c r="G127" s="4" t="s">
        <v>25</v>
      </c>
      <c r="H127" s="4" t="s">
        <v>39</v>
      </c>
      <c r="I127" s="5">
        <v>44593</v>
      </c>
      <c r="J127" s="6">
        <v>0</v>
      </c>
      <c r="K127" s="6">
        <v>0</v>
      </c>
      <c r="L127" s="6">
        <v>3.4000000000000002E-2</v>
      </c>
      <c r="M127" s="6">
        <v>3.4000000000000002E-2</v>
      </c>
      <c r="N127" s="6">
        <v>3.4000000000000002E-2</v>
      </c>
      <c r="O127" s="6">
        <v>3.4000000000000002E-2</v>
      </c>
      <c r="P127" s="6">
        <v>0</v>
      </c>
      <c r="Q127" s="4" t="s">
        <v>26</v>
      </c>
      <c r="R127" s="4">
        <v>0</v>
      </c>
      <c r="S127" s="4" t="s">
        <v>175</v>
      </c>
      <c r="T127" s="4" t="s">
        <v>364</v>
      </c>
      <c r="U127" s="4">
        <v>0</v>
      </c>
      <c r="V127" s="4">
        <v>26</v>
      </c>
      <c r="W127" s="4">
        <v>73</v>
      </c>
    </row>
    <row r="128" spans="1:23" ht="11.25" customHeight="1" x14ac:dyDescent="0.3">
      <c r="A128" s="4" t="s">
        <v>21</v>
      </c>
      <c r="B128" s="4" t="s">
        <v>22</v>
      </c>
      <c r="C128" s="4" t="s">
        <v>33</v>
      </c>
      <c r="D128" s="4" t="s">
        <v>24</v>
      </c>
      <c r="E128" s="4" t="s">
        <v>24</v>
      </c>
      <c r="F128" s="4" t="s">
        <v>25</v>
      </c>
      <c r="G128" s="4" t="s">
        <v>25</v>
      </c>
      <c r="H128" s="4" t="s">
        <v>39</v>
      </c>
      <c r="I128" s="5">
        <v>44621</v>
      </c>
      <c r="J128" s="6">
        <v>0</v>
      </c>
      <c r="K128" s="6">
        <v>0</v>
      </c>
      <c r="L128" s="6">
        <v>1.7999999999999999E-2</v>
      </c>
      <c r="M128" s="6">
        <v>1.7999999999999999E-2</v>
      </c>
      <c r="N128" s="6">
        <v>1.7999999999999999E-2</v>
      </c>
      <c r="O128" s="6">
        <v>1.7999999999999999E-2</v>
      </c>
      <c r="P128" s="6">
        <v>0</v>
      </c>
      <c r="Q128" s="4" t="s">
        <v>26</v>
      </c>
      <c r="R128" s="4">
        <v>0</v>
      </c>
      <c r="S128" s="4" t="s">
        <v>176</v>
      </c>
      <c r="T128" s="4" t="s">
        <v>365</v>
      </c>
      <c r="U128" s="4">
        <v>0</v>
      </c>
      <c r="V128" s="4">
        <v>26</v>
      </c>
      <c r="W128" s="4">
        <v>73</v>
      </c>
    </row>
    <row r="129" spans="1:23" ht="11.25" customHeight="1" x14ac:dyDescent="0.3">
      <c r="A129" s="4" t="s">
        <v>21</v>
      </c>
      <c r="B129" s="4" t="s">
        <v>22</v>
      </c>
      <c r="C129" s="4" t="s">
        <v>33</v>
      </c>
      <c r="D129" s="4" t="s">
        <v>24</v>
      </c>
      <c r="E129" s="4" t="s">
        <v>24</v>
      </c>
      <c r="F129" s="4" t="s">
        <v>25</v>
      </c>
      <c r="G129" s="4" t="s">
        <v>25</v>
      </c>
      <c r="H129" s="4" t="s">
        <v>39</v>
      </c>
      <c r="I129" s="5">
        <v>44652</v>
      </c>
      <c r="J129" s="6">
        <v>0</v>
      </c>
      <c r="K129" s="6">
        <v>0</v>
      </c>
      <c r="L129" s="6">
        <v>6.5000000000000002E-2</v>
      </c>
      <c r="M129" s="6">
        <v>6.5000000000000002E-2</v>
      </c>
      <c r="N129" s="6">
        <v>6.5000000000000002E-2</v>
      </c>
      <c r="O129" s="6">
        <v>6.5000000000000002E-2</v>
      </c>
      <c r="P129" s="6">
        <v>0</v>
      </c>
      <c r="Q129" s="4" t="s">
        <v>26</v>
      </c>
      <c r="R129" s="4">
        <v>0</v>
      </c>
      <c r="S129" s="4" t="s">
        <v>177</v>
      </c>
      <c r="T129" s="4" t="s">
        <v>366</v>
      </c>
      <c r="U129" s="4">
        <v>0</v>
      </c>
      <c r="V129" s="4">
        <v>26</v>
      </c>
      <c r="W129" s="4">
        <v>73</v>
      </c>
    </row>
    <row r="130" spans="1:23" ht="11.25" customHeight="1" x14ac:dyDescent="0.3">
      <c r="A130" s="4" t="s">
        <v>21</v>
      </c>
      <c r="B130" s="4" t="s">
        <v>22</v>
      </c>
      <c r="C130" s="4" t="s">
        <v>33</v>
      </c>
      <c r="D130" s="4" t="s">
        <v>24</v>
      </c>
      <c r="E130" s="4" t="s">
        <v>24</v>
      </c>
      <c r="F130" s="4" t="s">
        <v>25</v>
      </c>
      <c r="G130" s="4" t="s">
        <v>25</v>
      </c>
      <c r="H130" s="4" t="s">
        <v>39</v>
      </c>
      <c r="I130" s="5">
        <v>44682</v>
      </c>
      <c r="J130" s="6">
        <v>0</v>
      </c>
      <c r="K130" s="6">
        <v>0</v>
      </c>
      <c r="L130" s="6">
        <v>9.6000000000000002E-2</v>
      </c>
      <c r="M130" s="6">
        <v>9.6000000000000002E-2</v>
      </c>
      <c r="N130" s="6">
        <v>9.6000000000000002E-2</v>
      </c>
      <c r="O130" s="6">
        <v>9.6000000000000002E-2</v>
      </c>
      <c r="P130" s="6">
        <v>0</v>
      </c>
      <c r="Q130" s="4" t="s">
        <v>26</v>
      </c>
      <c r="R130" s="4">
        <v>0</v>
      </c>
      <c r="S130" s="4" t="s">
        <v>178</v>
      </c>
      <c r="T130" s="4" t="s">
        <v>367</v>
      </c>
      <c r="U130" s="4">
        <v>0</v>
      </c>
      <c r="V130" s="4">
        <v>26</v>
      </c>
      <c r="W130" s="4">
        <v>73</v>
      </c>
    </row>
    <row r="131" spans="1:23" ht="11.25" customHeight="1" x14ac:dyDescent="0.3">
      <c r="A131" s="4" t="s">
        <v>21</v>
      </c>
      <c r="B131" s="4" t="s">
        <v>22</v>
      </c>
      <c r="C131" s="4" t="s">
        <v>33</v>
      </c>
      <c r="D131" s="4" t="s">
        <v>24</v>
      </c>
      <c r="E131" s="4" t="s">
        <v>24</v>
      </c>
      <c r="F131" s="4" t="s">
        <v>25</v>
      </c>
      <c r="G131" s="4" t="s">
        <v>25</v>
      </c>
      <c r="H131" s="4" t="s">
        <v>39</v>
      </c>
      <c r="I131" s="5">
        <v>44713</v>
      </c>
      <c r="J131" s="6">
        <v>0</v>
      </c>
      <c r="K131" s="6">
        <v>0</v>
      </c>
      <c r="L131" s="6">
        <v>8.4000000000000005E-2</v>
      </c>
      <c r="M131" s="6">
        <v>8.4000000000000005E-2</v>
      </c>
      <c r="N131" s="6">
        <v>8.4000000000000005E-2</v>
      </c>
      <c r="O131" s="6">
        <v>8.4000000000000005E-2</v>
      </c>
      <c r="P131" s="6">
        <v>0</v>
      </c>
      <c r="Q131" s="4" t="s">
        <v>26</v>
      </c>
      <c r="R131" s="4">
        <v>0</v>
      </c>
      <c r="S131" s="4" t="s">
        <v>179</v>
      </c>
      <c r="T131" s="4" t="s">
        <v>368</v>
      </c>
      <c r="U131" s="4">
        <v>0</v>
      </c>
      <c r="V131" s="4">
        <v>26</v>
      </c>
      <c r="W131" s="4">
        <v>73</v>
      </c>
    </row>
    <row r="132" spans="1:23" ht="11.25" customHeight="1" x14ac:dyDescent="0.3">
      <c r="A132" s="4" t="s">
        <v>21</v>
      </c>
      <c r="B132" s="4" t="s">
        <v>22</v>
      </c>
      <c r="C132" s="4" t="s">
        <v>33</v>
      </c>
      <c r="D132" s="4" t="s">
        <v>24</v>
      </c>
      <c r="E132" s="4" t="s">
        <v>24</v>
      </c>
      <c r="F132" s="4" t="s">
        <v>25</v>
      </c>
      <c r="G132" s="4" t="s">
        <v>25</v>
      </c>
      <c r="H132" s="4" t="s">
        <v>39</v>
      </c>
      <c r="I132" s="5">
        <v>44743</v>
      </c>
      <c r="J132" s="6">
        <v>0</v>
      </c>
      <c r="K132" s="6">
        <v>0</v>
      </c>
      <c r="L132" s="6">
        <v>8.4000000000000005E-2</v>
      </c>
      <c r="M132" s="6">
        <v>8.4000000000000005E-2</v>
      </c>
      <c r="N132" s="6">
        <v>8.4000000000000005E-2</v>
      </c>
      <c r="O132" s="6">
        <v>8.4000000000000005E-2</v>
      </c>
      <c r="P132" s="6">
        <v>0</v>
      </c>
      <c r="Q132" s="4" t="s">
        <v>26</v>
      </c>
      <c r="R132" s="4">
        <v>0</v>
      </c>
      <c r="S132" s="4" t="s">
        <v>180</v>
      </c>
      <c r="T132" s="4" t="s">
        <v>369</v>
      </c>
      <c r="U132" s="4">
        <v>0</v>
      </c>
      <c r="V132" s="4">
        <v>26</v>
      </c>
      <c r="W132" s="4">
        <v>73</v>
      </c>
    </row>
    <row r="133" spans="1:23" ht="11.25" customHeight="1" x14ac:dyDescent="0.3">
      <c r="A133" s="4" t="s">
        <v>21</v>
      </c>
      <c r="B133" s="4" t="s">
        <v>22</v>
      </c>
      <c r="C133" s="4" t="s">
        <v>33</v>
      </c>
      <c r="D133" s="4" t="s">
        <v>24</v>
      </c>
      <c r="E133" s="4" t="s">
        <v>24</v>
      </c>
      <c r="F133" s="4" t="s">
        <v>25</v>
      </c>
      <c r="G133" s="4" t="s">
        <v>25</v>
      </c>
      <c r="H133" s="4" t="s">
        <v>39</v>
      </c>
      <c r="I133" s="5">
        <v>44774</v>
      </c>
      <c r="J133" s="6">
        <v>0</v>
      </c>
      <c r="K133" s="6">
        <v>0</v>
      </c>
      <c r="L133" s="6">
        <v>7.3999999999999996E-2</v>
      </c>
      <c r="M133" s="6">
        <v>7.3999999999999996E-2</v>
      </c>
      <c r="N133" s="6">
        <v>7.3999999999999996E-2</v>
      </c>
      <c r="O133" s="6">
        <v>7.3999999999999996E-2</v>
      </c>
      <c r="P133" s="6">
        <v>0</v>
      </c>
      <c r="Q133" s="4" t="s">
        <v>26</v>
      </c>
      <c r="R133" s="4">
        <v>0</v>
      </c>
      <c r="S133" s="4" t="s">
        <v>181</v>
      </c>
      <c r="T133" s="4" t="s">
        <v>370</v>
      </c>
      <c r="U133" s="4">
        <v>0</v>
      </c>
      <c r="V133" s="4">
        <v>26</v>
      </c>
      <c r="W133" s="4">
        <v>73</v>
      </c>
    </row>
    <row r="134" spans="1:23" ht="11.25" customHeight="1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24</v>
      </c>
      <c r="F134" s="4" t="s">
        <v>25</v>
      </c>
      <c r="G134" s="4" t="s">
        <v>25</v>
      </c>
      <c r="H134" s="4" t="s">
        <v>25</v>
      </c>
      <c r="I134" s="5">
        <v>44440</v>
      </c>
      <c r="J134" s="6">
        <v>0</v>
      </c>
      <c r="K134" s="6">
        <v>0</v>
      </c>
      <c r="L134" s="6">
        <v>1219.5219999999999</v>
      </c>
      <c r="M134" s="6">
        <v>1219.5219999999999</v>
      </c>
      <c r="N134" s="6">
        <v>1219.5219999999999</v>
      </c>
      <c r="O134" s="6">
        <v>1219.5219999999999</v>
      </c>
      <c r="P134" s="6">
        <v>7983</v>
      </c>
      <c r="Q134" s="4" t="s">
        <v>26</v>
      </c>
      <c r="R134" s="4">
        <v>0</v>
      </c>
      <c r="S134" s="4" t="s">
        <v>182</v>
      </c>
      <c r="T134" s="4" t="s">
        <v>371</v>
      </c>
      <c r="U134" s="4">
        <v>0</v>
      </c>
      <c r="V134" s="4">
        <v>32</v>
      </c>
      <c r="W134" s="4">
        <v>76</v>
      </c>
    </row>
    <row r="135" spans="1:23" ht="11.25" customHeight="1" x14ac:dyDescent="0.3">
      <c r="A135" s="4" t="s">
        <v>27</v>
      </c>
      <c r="B135" s="4" t="s">
        <v>22</v>
      </c>
      <c r="C135" s="4" t="s">
        <v>23</v>
      </c>
      <c r="D135" s="4" t="s">
        <v>24</v>
      </c>
      <c r="E135" s="4" t="s">
        <v>24</v>
      </c>
      <c r="F135" s="4" t="s">
        <v>25</v>
      </c>
      <c r="G135" s="4" t="s">
        <v>25</v>
      </c>
      <c r="H135" s="4" t="s">
        <v>25</v>
      </c>
      <c r="I135" s="5">
        <v>44440</v>
      </c>
      <c r="J135" s="6">
        <v>0</v>
      </c>
      <c r="K135" s="6">
        <v>0</v>
      </c>
      <c r="L135" s="6">
        <v>-4.1749999999999998</v>
      </c>
      <c r="M135" s="6">
        <v>-4.1749999999999998</v>
      </c>
      <c r="N135" s="6">
        <v>-4.1749999999999998</v>
      </c>
      <c r="O135" s="6">
        <v>-4.1749999999999998</v>
      </c>
      <c r="P135" s="6">
        <v>0</v>
      </c>
      <c r="Q135" s="4" t="s">
        <v>26</v>
      </c>
      <c r="R135" s="4">
        <v>0</v>
      </c>
      <c r="S135" s="4" t="s">
        <v>182</v>
      </c>
      <c r="T135" s="4" t="s">
        <v>371</v>
      </c>
      <c r="U135" s="4">
        <v>0</v>
      </c>
      <c r="V135" s="4">
        <v>32</v>
      </c>
      <c r="W135" s="4">
        <v>76</v>
      </c>
    </row>
    <row r="136" spans="1:23" ht="11.25" customHeight="1" x14ac:dyDescent="0.3">
      <c r="A136" s="4" t="s">
        <v>28</v>
      </c>
      <c r="B136" s="4" t="s">
        <v>22</v>
      </c>
      <c r="C136" s="4" t="s">
        <v>23</v>
      </c>
      <c r="D136" s="4" t="s">
        <v>24</v>
      </c>
      <c r="E136" s="4" t="s">
        <v>24</v>
      </c>
      <c r="F136" s="4" t="s">
        <v>25</v>
      </c>
      <c r="G136" s="4" t="s">
        <v>25</v>
      </c>
      <c r="H136" s="4" t="s">
        <v>25</v>
      </c>
      <c r="I136" s="5">
        <v>44440</v>
      </c>
      <c r="J136" s="6">
        <v>0</v>
      </c>
      <c r="K136" s="6">
        <v>0</v>
      </c>
      <c r="L136" s="6">
        <v>9.0389999999999997</v>
      </c>
      <c r="M136" s="6">
        <v>9.0389999999999997</v>
      </c>
      <c r="N136" s="6">
        <v>9.0389999999999997</v>
      </c>
      <c r="O136" s="6">
        <v>9.0389999999999997</v>
      </c>
      <c r="P136" s="6">
        <v>45</v>
      </c>
      <c r="Q136" s="4" t="s">
        <v>26</v>
      </c>
      <c r="R136" s="4">
        <v>0</v>
      </c>
      <c r="S136" s="4" t="s">
        <v>182</v>
      </c>
      <c r="T136" s="4" t="s">
        <v>371</v>
      </c>
      <c r="U136" s="4">
        <v>0</v>
      </c>
      <c r="V136" s="4">
        <v>32</v>
      </c>
      <c r="W136" s="4">
        <v>76</v>
      </c>
    </row>
    <row r="137" spans="1:23" ht="11.25" customHeight="1" x14ac:dyDescent="0.3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24</v>
      </c>
      <c r="F137" s="4" t="s">
        <v>25</v>
      </c>
      <c r="G137" s="4" t="s">
        <v>25</v>
      </c>
      <c r="H137" s="4" t="s">
        <v>25</v>
      </c>
      <c r="I137" s="5">
        <v>44470</v>
      </c>
      <c r="J137" s="6">
        <v>0</v>
      </c>
      <c r="K137" s="6">
        <v>0</v>
      </c>
      <c r="L137" s="6">
        <v>1221.414</v>
      </c>
      <c r="M137" s="6">
        <v>1221.414</v>
      </c>
      <c r="N137" s="6">
        <v>1221.414</v>
      </c>
      <c r="O137" s="6">
        <v>1221.414</v>
      </c>
      <c r="P137" s="6">
        <v>8005</v>
      </c>
      <c r="Q137" s="4" t="s">
        <v>26</v>
      </c>
      <c r="R137" s="4">
        <v>0</v>
      </c>
      <c r="S137" s="4" t="s">
        <v>183</v>
      </c>
      <c r="T137" s="4" t="s">
        <v>372</v>
      </c>
      <c r="U137" s="4">
        <v>0</v>
      </c>
      <c r="V137" s="4">
        <v>32</v>
      </c>
      <c r="W137" s="4">
        <v>76</v>
      </c>
    </row>
    <row r="138" spans="1:23" ht="11.25" customHeight="1" x14ac:dyDescent="0.3">
      <c r="A138" s="4" t="s">
        <v>27</v>
      </c>
      <c r="B138" s="4" t="s">
        <v>22</v>
      </c>
      <c r="C138" s="4" t="s">
        <v>23</v>
      </c>
      <c r="D138" s="4" t="s">
        <v>24</v>
      </c>
      <c r="E138" s="4" t="s">
        <v>24</v>
      </c>
      <c r="F138" s="4" t="s">
        <v>25</v>
      </c>
      <c r="G138" s="4" t="s">
        <v>25</v>
      </c>
      <c r="H138" s="4" t="s">
        <v>25</v>
      </c>
      <c r="I138" s="5">
        <v>44470</v>
      </c>
      <c r="J138" s="6">
        <v>0</v>
      </c>
      <c r="K138" s="6">
        <v>0</v>
      </c>
      <c r="L138" s="6">
        <v>-11.824999999999999</v>
      </c>
      <c r="M138" s="6">
        <v>-11.824999999999999</v>
      </c>
      <c r="N138" s="6">
        <v>-11.824999999999999</v>
      </c>
      <c r="O138" s="6">
        <v>-11.824999999999999</v>
      </c>
      <c r="P138" s="6">
        <v>0</v>
      </c>
      <c r="Q138" s="4" t="s">
        <v>26</v>
      </c>
      <c r="R138" s="4">
        <v>0</v>
      </c>
      <c r="S138" s="4" t="s">
        <v>183</v>
      </c>
      <c r="T138" s="4" t="s">
        <v>372</v>
      </c>
      <c r="U138" s="4">
        <v>0</v>
      </c>
      <c r="V138" s="4">
        <v>32</v>
      </c>
      <c r="W138" s="4">
        <v>76</v>
      </c>
    </row>
    <row r="139" spans="1:23" ht="11.25" customHeight="1" x14ac:dyDescent="0.3">
      <c r="A139" s="4" t="s">
        <v>28</v>
      </c>
      <c r="B139" s="4" t="s">
        <v>22</v>
      </c>
      <c r="C139" s="4" t="s">
        <v>23</v>
      </c>
      <c r="D139" s="4" t="s">
        <v>24</v>
      </c>
      <c r="E139" s="4" t="s">
        <v>24</v>
      </c>
      <c r="F139" s="4" t="s">
        <v>25</v>
      </c>
      <c r="G139" s="4" t="s">
        <v>25</v>
      </c>
      <c r="H139" s="4" t="s">
        <v>25</v>
      </c>
      <c r="I139" s="5">
        <v>44470</v>
      </c>
      <c r="J139" s="6">
        <v>0</v>
      </c>
      <c r="K139" s="6">
        <v>0</v>
      </c>
      <c r="L139" s="6">
        <v>10.726000000000001</v>
      </c>
      <c r="M139" s="6">
        <v>10.726000000000001</v>
      </c>
      <c r="N139" s="6">
        <v>10.726000000000001</v>
      </c>
      <c r="O139" s="6">
        <v>10.726000000000001</v>
      </c>
      <c r="P139" s="6">
        <v>48</v>
      </c>
      <c r="Q139" s="4" t="s">
        <v>26</v>
      </c>
      <c r="R139" s="4">
        <v>0</v>
      </c>
      <c r="S139" s="4" t="s">
        <v>183</v>
      </c>
      <c r="T139" s="4" t="s">
        <v>372</v>
      </c>
      <c r="U139" s="4">
        <v>0</v>
      </c>
      <c r="V139" s="4">
        <v>32</v>
      </c>
      <c r="W139" s="4">
        <v>76</v>
      </c>
    </row>
    <row r="140" spans="1:23" ht="11.25" customHeight="1" x14ac:dyDescent="0.3">
      <c r="A140" s="4" t="s">
        <v>28</v>
      </c>
      <c r="B140" s="4" t="s">
        <v>22</v>
      </c>
      <c r="C140" s="4" t="s">
        <v>23</v>
      </c>
      <c r="D140" s="4" t="s">
        <v>24</v>
      </c>
      <c r="E140" s="4" t="s">
        <v>24</v>
      </c>
      <c r="F140" s="4" t="s">
        <v>25</v>
      </c>
      <c r="G140" s="4" t="s">
        <v>25</v>
      </c>
      <c r="H140" s="4" t="s">
        <v>25</v>
      </c>
      <c r="I140" s="5">
        <v>44470</v>
      </c>
      <c r="J140" s="6">
        <v>0</v>
      </c>
      <c r="K140" s="6">
        <v>0</v>
      </c>
      <c r="L140" s="6">
        <v>-0.129</v>
      </c>
      <c r="M140" s="6">
        <v>-0.129</v>
      </c>
      <c r="N140" s="6">
        <v>-0.129</v>
      </c>
      <c r="O140" s="6">
        <v>-0.129</v>
      </c>
      <c r="P140" s="6">
        <v>2</v>
      </c>
      <c r="Q140" s="4" t="s">
        <v>26</v>
      </c>
      <c r="R140" s="4">
        <v>0</v>
      </c>
      <c r="S140" s="4" t="s">
        <v>183</v>
      </c>
      <c r="T140" s="4" t="s">
        <v>372</v>
      </c>
      <c r="U140" s="4">
        <v>0</v>
      </c>
      <c r="V140" s="4">
        <v>32</v>
      </c>
      <c r="W140" s="4">
        <v>76</v>
      </c>
    </row>
    <row r="141" spans="1:23" ht="11.25" customHeight="1" x14ac:dyDescent="0.3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24</v>
      </c>
      <c r="F141" s="4" t="s">
        <v>25</v>
      </c>
      <c r="G141" s="4" t="s">
        <v>25</v>
      </c>
      <c r="H141" s="4" t="s">
        <v>25</v>
      </c>
      <c r="I141" s="5">
        <v>44501</v>
      </c>
      <c r="J141" s="6">
        <v>0</v>
      </c>
      <c r="K141" s="6">
        <v>0</v>
      </c>
      <c r="L141" s="6">
        <v>1202.6389999999999</v>
      </c>
      <c r="M141" s="6">
        <v>1202.6389999999999</v>
      </c>
      <c r="N141" s="6">
        <v>1202.6389999999999</v>
      </c>
      <c r="O141" s="6">
        <v>1202.6389999999999</v>
      </c>
      <c r="P141" s="6">
        <v>8057</v>
      </c>
      <c r="Q141" s="4" t="s">
        <v>26</v>
      </c>
      <c r="R141" s="4">
        <v>0</v>
      </c>
      <c r="S141" s="4" t="s">
        <v>184</v>
      </c>
      <c r="T141" s="4" t="s">
        <v>373</v>
      </c>
      <c r="U141" s="4">
        <v>0</v>
      </c>
      <c r="V141" s="4">
        <v>32</v>
      </c>
      <c r="W141" s="4">
        <v>76</v>
      </c>
    </row>
    <row r="142" spans="1:23" ht="11.25" customHeight="1" x14ac:dyDescent="0.3">
      <c r="A142" s="4" t="s">
        <v>27</v>
      </c>
      <c r="B142" s="4" t="s">
        <v>22</v>
      </c>
      <c r="C142" s="4" t="s">
        <v>23</v>
      </c>
      <c r="D142" s="4" t="s">
        <v>24</v>
      </c>
      <c r="E142" s="4" t="s">
        <v>24</v>
      </c>
      <c r="F142" s="4" t="s">
        <v>25</v>
      </c>
      <c r="G142" s="4" t="s">
        <v>25</v>
      </c>
      <c r="H142" s="4" t="s">
        <v>25</v>
      </c>
      <c r="I142" s="5">
        <v>44501</v>
      </c>
      <c r="J142" s="6">
        <v>0</v>
      </c>
      <c r="K142" s="6">
        <v>0</v>
      </c>
      <c r="L142" s="6">
        <v>-2.8410000000000002</v>
      </c>
      <c r="M142" s="6">
        <v>-2.8410000000000002</v>
      </c>
      <c r="N142" s="6">
        <v>-2.8410000000000002</v>
      </c>
      <c r="O142" s="6">
        <v>-2.8410000000000002</v>
      </c>
      <c r="P142" s="6">
        <v>0</v>
      </c>
      <c r="Q142" s="4" t="s">
        <v>26</v>
      </c>
      <c r="R142" s="4">
        <v>0</v>
      </c>
      <c r="S142" s="4" t="s">
        <v>184</v>
      </c>
      <c r="T142" s="4" t="s">
        <v>373</v>
      </c>
      <c r="U142" s="4">
        <v>0</v>
      </c>
      <c r="V142" s="4">
        <v>32</v>
      </c>
      <c r="W142" s="4">
        <v>76</v>
      </c>
    </row>
    <row r="143" spans="1:23" ht="11.25" customHeight="1" x14ac:dyDescent="0.3">
      <c r="A143" s="4" t="s">
        <v>28</v>
      </c>
      <c r="B143" s="4" t="s">
        <v>22</v>
      </c>
      <c r="C143" s="4" t="s">
        <v>23</v>
      </c>
      <c r="D143" s="4" t="s">
        <v>24</v>
      </c>
      <c r="E143" s="4" t="s">
        <v>24</v>
      </c>
      <c r="F143" s="4" t="s">
        <v>25</v>
      </c>
      <c r="G143" s="4" t="s">
        <v>25</v>
      </c>
      <c r="H143" s="4" t="s">
        <v>25</v>
      </c>
      <c r="I143" s="5">
        <v>44501</v>
      </c>
      <c r="J143" s="6">
        <v>0</v>
      </c>
      <c r="K143" s="6">
        <v>0</v>
      </c>
      <c r="L143" s="6">
        <v>8.9350000000000005</v>
      </c>
      <c r="M143" s="6">
        <v>8.9350000000000005</v>
      </c>
      <c r="N143" s="6">
        <v>8.9350000000000005</v>
      </c>
      <c r="O143" s="6">
        <v>8.9350000000000005</v>
      </c>
      <c r="P143" s="6">
        <v>51</v>
      </c>
      <c r="Q143" s="4" t="s">
        <v>26</v>
      </c>
      <c r="R143" s="4">
        <v>0</v>
      </c>
      <c r="S143" s="4" t="s">
        <v>184</v>
      </c>
      <c r="T143" s="4" t="s">
        <v>373</v>
      </c>
      <c r="U143" s="4">
        <v>0</v>
      </c>
      <c r="V143" s="4">
        <v>32</v>
      </c>
      <c r="W143" s="4">
        <v>76</v>
      </c>
    </row>
    <row r="144" spans="1:23" ht="11.25" customHeight="1" x14ac:dyDescent="0.3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24</v>
      </c>
      <c r="F144" s="4" t="s">
        <v>25</v>
      </c>
      <c r="G144" s="4" t="s">
        <v>25</v>
      </c>
      <c r="H144" s="4" t="s">
        <v>25</v>
      </c>
      <c r="I144" s="5">
        <v>44531</v>
      </c>
      <c r="J144" s="6">
        <v>0</v>
      </c>
      <c r="K144" s="6">
        <v>0</v>
      </c>
      <c r="L144" s="6">
        <v>1188.22</v>
      </c>
      <c r="M144" s="6">
        <v>1188.22</v>
      </c>
      <c r="N144" s="6">
        <v>1188.22</v>
      </c>
      <c r="O144" s="6">
        <v>1188.22</v>
      </c>
      <c r="P144" s="6">
        <v>8096</v>
      </c>
      <c r="Q144" s="4" t="s">
        <v>26</v>
      </c>
      <c r="R144" s="4">
        <v>0</v>
      </c>
      <c r="S144" s="4" t="s">
        <v>185</v>
      </c>
      <c r="T144" s="4" t="s">
        <v>374</v>
      </c>
      <c r="U144" s="4">
        <v>0</v>
      </c>
      <c r="V144" s="4">
        <v>32</v>
      </c>
      <c r="W144" s="4">
        <v>76</v>
      </c>
    </row>
    <row r="145" spans="1:23" ht="11.25" customHeight="1" x14ac:dyDescent="0.3">
      <c r="A145" s="4" t="s">
        <v>27</v>
      </c>
      <c r="B145" s="4" t="s">
        <v>22</v>
      </c>
      <c r="C145" s="4" t="s">
        <v>23</v>
      </c>
      <c r="D145" s="4" t="s">
        <v>24</v>
      </c>
      <c r="E145" s="4" t="s">
        <v>24</v>
      </c>
      <c r="F145" s="4" t="s">
        <v>25</v>
      </c>
      <c r="G145" s="4" t="s">
        <v>25</v>
      </c>
      <c r="H145" s="4" t="s">
        <v>25</v>
      </c>
      <c r="I145" s="5">
        <v>44531</v>
      </c>
      <c r="J145" s="6">
        <v>0</v>
      </c>
      <c r="K145" s="6">
        <v>0</v>
      </c>
      <c r="L145" s="6">
        <v>-7.8010000000000002</v>
      </c>
      <c r="M145" s="6">
        <v>-7.8010000000000002</v>
      </c>
      <c r="N145" s="6">
        <v>-7.8010000000000002</v>
      </c>
      <c r="O145" s="6">
        <v>-7.8010000000000002</v>
      </c>
      <c r="P145" s="6">
        <v>0</v>
      </c>
      <c r="Q145" s="4" t="s">
        <v>26</v>
      </c>
      <c r="R145" s="4">
        <v>0</v>
      </c>
      <c r="S145" s="4" t="s">
        <v>185</v>
      </c>
      <c r="T145" s="4" t="s">
        <v>374</v>
      </c>
      <c r="U145" s="4">
        <v>0</v>
      </c>
      <c r="V145" s="4">
        <v>32</v>
      </c>
      <c r="W145" s="4">
        <v>76</v>
      </c>
    </row>
    <row r="146" spans="1:23" ht="11.25" customHeight="1" x14ac:dyDescent="0.3">
      <c r="A146" s="4" t="s">
        <v>28</v>
      </c>
      <c r="B146" s="4" t="s">
        <v>22</v>
      </c>
      <c r="C146" s="4" t="s">
        <v>23</v>
      </c>
      <c r="D146" s="4" t="s">
        <v>24</v>
      </c>
      <c r="E146" s="4" t="s">
        <v>24</v>
      </c>
      <c r="F146" s="4" t="s">
        <v>25</v>
      </c>
      <c r="G146" s="4" t="s">
        <v>25</v>
      </c>
      <c r="H146" s="4" t="s">
        <v>25</v>
      </c>
      <c r="I146" s="5">
        <v>44531</v>
      </c>
      <c r="J146" s="6">
        <v>0</v>
      </c>
      <c r="K146" s="6">
        <v>0</v>
      </c>
      <c r="L146" s="6">
        <v>7.101</v>
      </c>
      <c r="M146" s="6">
        <v>7.101</v>
      </c>
      <c r="N146" s="6">
        <v>7.101</v>
      </c>
      <c r="O146" s="6">
        <v>7.101</v>
      </c>
      <c r="P146" s="6">
        <v>58</v>
      </c>
      <c r="Q146" s="4" t="s">
        <v>26</v>
      </c>
      <c r="R146" s="4">
        <v>0</v>
      </c>
      <c r="S146" s="4" t="s">
        <v>185</v>
      </c>
      <c r="T146" s="4" t="s">
        <v>374</v>
      </c>
      <c r="U146" s="4">
        <v>0</v>
      </c>
      <c r="V146" s="4">
        <v>32</v>
      </c>
      <c r="W146" s="4">
        <v>76</v>
      </c>
    </row>
    <row r="147" spans="1:23" ht="11.25" customHeight="1" x14ac:dyDescent="0.3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24</v>
      </c>
      <c r="F147" s="4" t="s">
        <v>25</v>
      </c>
      <c r="G147" s="4" t="s">
        <v>25</v>
      </c>
      <c r="H147" s="4" t="s">
        <v>25</v>
      </c>
      <c r="I147" s="5">
        <v>44562</v>
      </c>
      <c r="J147" s="6">
        <v>0</v>
      </c>
      <c r="K147" s="6">
        <v>0</v>
      </c>
      <c r="L147" s="6">
        <v>1529.3979999999999</v>
      </c>
      <c r="M147" s="6">
        <v>1529.3979999999999</v>
      </c>
      <c r="N147" s="6">
        <v>1529.3979999999999</v>
      </c>
      <c r="O147" s="6">
        <v>1529.3979999999999</v>
      </c>
      <c r="P147" s="6">
        <v>8125</v>
      </c>
      <c r="Q147" s="4" t="s">
        <v>26</v>
      </c>
      <c r="R147" s="4">
        <v>0</v>
      </c>
      <c r="S147" s="4" t="s">
        <v>186</v>
      </c>
      <c r="T147" s="4" t="s">
        <v>375</v>
      </c>
      <c r="U147" s="4">
        <v>0</v>
      </c>
      <c r="V147" s="4">
        <v>32</v>
      </c>
      <c r="W147" s="4">
        <v>76</v>
      </c>
    </row>
    <row r="148" spans="1:23" ht="11.25" customHeight="1" x14ac:dyDescent="0.3">
      <c r="A148" s="4" t="s">
        <v>27</v>
      </c>
      <c r="B148" s="4" t="s">
        <v>22</v>
      </c>
      <c r="C148" s="4" t="s">
        <v>23</v>
      </c>
      <c r="D148" s="4" t="s">
        <v>24</v>
      </c>
      <c r="E148" s="4" t="s">
        <v>24</v>
      </c>
      <c r="F148" s="4" t="s">
        <v>25</v>
      </c>
      <c r="G148" s="4" t="s">
        <v>25</v>
      </c>
      <c r="H148" s="4" t="s">
        <v>25</v>
      </c>
      <c r="I148" s="5">
        <v>44562</v>
      </c>
      <c r="J148" s="6">
        <v>0</v>
      </c>
      <c r="K148" s="6">
        <v>0</v>
      </c>
      <c r="L148" s="6">
        <v>-3.8340000000000001</v>
      </c>
      <c r="M148" s="6">
        <v>-3.8340000000000001</v>
      </c>
      <c r="N148" s="6">
        <v>-3.8340000000000001</v>
      </c>
      <c r="O148" s="6">
        <v>-3.8340000000000001</v>
      </c>
      <c r="P148" s="6">
        <v>0</v>
      </c>
      <c r="Q148" s="4" t="s">
        <v>26</v>
      </c>
      <c r="R148" s="4">
        <v>0</v>
      </c>
      <c r="S148" s="4" t="s">
        <v>186</v>
      </c>
      <c r="T148" s="4" t="s">
        <v>375</v>
      </c>
      <c r="U148" s="4">
        <v>0</v>
      </c>
      <c r="V148" s="4">
        <v>32</v>
      </c>
      <c r="W148" s="4">
        <v>76</v>
      </c>
    </row>
    <row r="149" spans="1:23" ht="11.25" customHeight="1" x14ac:dyDescent="0.3">
      <c r="A149" s="4" t="s">
        <v>28</v>
      </c>
      <c r="B149" s="4" t="s">
        <v>22</v>
      </c>
      <c r="C149" s="4" t="s">
        <v>23</v>
      </c>
      <c r="D149" s="4" t="s">
        <v>24</v>
      </c>
      <c r="E149" s="4" t="s">
        <v>24</v>
      </c>
      <c r="F149" s="4" t="s">
        <v>25</v>
      </c>
      <c r="G149" s="4" t="s">
        <v>25</v>
      </c>
      <c r="H149" s="4" t="s">
        <v>25</v>
      </c>
      <c r="I149" s="5">
        <v>44562</v>
      </c>
      <c r="J149" s="6">
        <v>0</v>
      </c>
      <c r="K149" s="6">
        <v>0</v>
      </c>
      <c r="L149" s="6">
        <v>6.8049999999999997</v>
      </c>
      <c r="M149" s="6">
        <v>6.8049999999999997</v>
      </c>
      <c r="N149" s="6">
        <v>6.8049999999999997</v>
      </c>
      <c r="O149" s="6">
        <v>6.8049999999999997</v>
      </c>
      <c r="P149" s="6">
        <v>60</v>
      </c>
      <c r="Q149" s="4" t="s">
        <v>26</v>
      </c>
      <c r="R149" s="4">
        <v>0</v>
      </c>
      <c r="S149" s="4" t="s">
        <v>186</v>
      </c>
      <c r="T149" s="4" t="s">
        <v>375</v>
      </c>
      <c r="U149" s="4">
        <v>0</v>
      </c>
      <c r="V149" s="4">
        <v>32</v>
      </c>
      <c r="W149" s="4">
        <v>76</v>
      </c>
    </row>
    <row r="150" spans="1:23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24</v>
      </c>
      <c r="F150" s="4" t="s">
        <v>25</v>
      </c>
      <c r="G150" s="4" t="s">
        <v>25</v>
      </c>
      <c r="H150" s="4" t="s">
        <v>25</v>
      </c>
      <c r="I150" s="5">
        <v>44593</v>
      </c>
      <c r="J150" s="6">
        <v>0</v>
      </c>
      <c r="K150" s="6">
        <v>0</v>
      </c>
      <c r="L150" s="6">
        <v>1589.87</v>
      </c>
      <c r="M150" s="6">
        <v>1589.87</v>
      </c>
      <c r="N150" s="6">
        <v>1589.87</v>
      </c>
      <c r="O150" s="6">
        <v>1589.87</v>
      </c>
      <c r="P150" s="6">
        <v>8178</v>
      </c>
      <c r="Q150" s="4" t="s">
        <v>26</v>
      </c>
      <c r="R150" s="4">
        <v>0</v>
      </c>
      <c r="S150" s="4" t="s">
        <v>187</v>
      </c>
      <c r="T150" s="4" t="s">
        <v>376</v>
      </c>
      <c r="U150" s="4">
        <v>0</v>
      </c>
      <c r="V150" s="4">
        <v>32</v>
      </c>
      <c r="W150" s="4">
        <v>76</v>
      </c>
    </row>
    <row r="151" spans="1:23" ht="11.25" customHeight="1" x14ac:dyDescent="0.3">
      <c r="A151" s="4" t="s">
        <v>27</v>
      </c>
      <c r="B151" s="4" t="s">
        <v>22</v>
      </c>
      <c r="C151" s="4" t="s">
        <v>23</v>
      </c>
      <c r="D151" s="4" t="s">
        <v>24</v>
      </c>
      <c r="E151" s="4" t="s">
        <v>24</v>
      </c>
      <c r="F151" s="4" t="s">
        <v>25</v>
      </c>
      <c r="G151" s="4" t="s">
        <v>25</v>
      </c>
      <c r="H151" s="4" t="s">
        <v>25</v>
      </c>
      <c r="I151" s="5">
        <v>44593</v>
      </c>
      <c r="J151" s="6">
        <v>0</v>
      </c>
      <c r="K151" s="6">
        <v>0</v>
      </c>
      <c r="L151" s="6">
        <v>-21.033999999999999</v>
      </c>
      <c r="M151" s="6">
        <v>-21.033999999999999</v>
      </c>
      <c r="N151" s="6">
        <v>-21.033999999999999</v>
      </c>
      <c r="O151" s="6">
        <v>-21.033999999999999</v>
      </c>
      <c r="P151" s="6">
        <v>0</v>
      </c>
      <c r="Q151" s="4" t="s">
        <v>26</v>
      </c>
      <c r="R151" s="4">
        <v>0</v>
      </c>
      <c r="S151" s="4" t="s">
        <v>187</v>
      </c>
      <c r="T151" s="4" t="s">
        <v>376</v>
      </c>
      <c r="U151" s="4">
        <v>0</v>
      </c>
      <c r="V151" s="4">
        <v>32</v>
      </c>
      <c r="W151" s="4">
        <v>76</v>
      </c>
    </row>
    <row r="152" spans="1:23" ht="11.25" customHeight="1" x14ac:dyDescent="0.3">
      <c r="A152" s="4" t="s">
        <v>28</v>
      </c>
      <c r="B152" s="4" t="s">
        <v>22</v>
      </c>
      <c r="C152" s="4" t="s">
        <v>23</v>
      </c>
      <c r="D152" s="4" t="s">
        <v>24</v>
      </c>
      <c r="E152" s="4" t="s">
        <v>24</v>
      </c>
      <c r="F152" s="4" t="s">
        <v>25</v>
      </c>
      <c r="G152" s="4" t="s">
        <v>25</v>
      </c>
      <c r="H152" s="4" t="s">
        <v>25</v>
      </c>
      <c r="I152" s="5">
        <v>44593</v>
      </c>
      <c r="J152" s="6">
        <v>0</v>
      </c>
      <c r="K152" s="6">
        <v>0</v>
      </c>
      <c r="L152" s="6">
        <v>9.125</v>
      </c>
      <c r="M152" s="6">
        <v>9.125</v>
      </c>
      <c r="N152" s="6">
        <v>9.125</v>
      </c>
      <c r="O152" s="6">
        <v>9.125</v>
      </c>
      <c r="P152" s="6">
        <v>69</v>
      </c>
      <c r="Q152" s="4" t="s">
        <v>26</v>
      </c>
      <c r="R152" s="4">
        <v>0</v>
      </c>
      <c r="S152" s="4" t="s">
        <v>187</v>
      </c>
      <c r="T152" s="4" t="s">
        <v>376</v>
      </c>
      <c r="U152" s="4">
        <v>0</v>
      </c>
      <c r="V152" s="4">
        <v>32</v>
      </c>
      <c r="W152" s="4">
        <v>76</v>
      </c>
    </row>
    <row r="153" spans="1:23" ht="11.25" customHeight="1" x14ac:dyDescent="0.3">
      <c r="A153" s="4" t="s">
        <v>28</v>
      </c>
      <c r="B153" s="4" t="s">
        <v>22</v>
      </c>
      <c r="C153" s="4" t="s">
        <v>23</v>
      </c>
      <c r="D153" s="4" t="s">
        <v>24</v>
      </c>
      <c r="E153" s="4" t="s">
        <v>24</v>
      </c>
      <c r="F153" s="4" t="s">
        <v>25</v>
      </c>
      <c r="G153" s="4" t="s">
        <v>25</v>
      </c>
      <c r="H153" s="4" t="s">
        <v>25</v>
      </c>
      <c r="I153" s="5">
        <v>44593</v>
      </c>
      <c r="J153" s="6">
        <v>0</v>
      </c>
      <c r="K153" s="6">
        <v>0</v>
      </c>
      <c r="L153" s="6">
        <v>15.984</v>
      </c>
      <c r="M153" s="6">
        <v>15.984</v>
      </c>
      <c r="N153" s="6">
        <v>15.984</v>
      </c>
      <c r="O153" s="6">
        <v>15.984</v>
      </c>
      <c r="P153" s="6">
        <v>1</v>
      </c>
      <c r="Q153" s="4" t="s">
        <v>26</v>
      </c>
      <c r="R153" s="4">
        <v>0</v>
      </c>
      <c r="S153" s="4" t="s">
        <v>187</v>
      </c>
      <c r="T153" s="4" t="s">
        <v>376</v>
      </c>
      <c r="U153" s="4">
        <v>0</v>
      </c>
      <c r="V153" s="4">
        <v>32</v>
      </c>
      <c r="W153" s="4">
        <v>76</v>
      </c>
    </row>
    <row r="154" spans="1:23" ht="11.25" customHeight="1" x14ac:dyDescent="0.3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24</v>
      </c>
      <c r="F154" s="4" t="s">
        <v>25</v>
      </c>
      <c r="G154" s="4" t="s">
        <v>25</v>
      </c>
      <c r="H154" s="4" t="s">
        <v>25</v>
      </c>
      <c r="I154" s="5">
        <v>44621</v>
      </c>
      <c r="J154" s="6">
        <v>0</v>
      </c>
      <c r="K154" s="6">
        <v>0</v>
      </c>
      <c r="L154" s="6">
        <v>1452.6479999999999</v>
      </c>
      <c r="M154" s="6">
        <v>1452.6479999999999</v>
      </c>
      <c r="N154" s="6">
        <v>1452.6479999999999</v>
      </c>
      <c r="O154" s="6">
        <v>1452.6479999999999</v>
      </c>
      <c r="P154" s="6">
        <v>8203</v>
      </c>
      <c r="Q154" s="4" t="s">
        <v>26</v>
      </c>
      <c r="R154" s="4">
        <v>0</v>
      </c>
      <c r="S154" s="4" t="s">
        <v>188</v>
      </c>
      <c r="T154" s="4" t="s">
        <v>377</v>
      </c>
      <c r="U154" s="4">
        <v>0</v>
      </c>
      <c r="V154" s="4">
        <v>32</v>
      </c>
      <c r="W154" s="4">
        <v>76</v>
      </c>
    </row>
    <row r="155" spans="1:23" ht="11.25" customHeight="1" x14ac:dyDescent="0.3">
      <c r="A155" s="4" t="s">
        <v>27</v>
      </c>
      <c r="B155" s="4" t="s">
        <v>22</v>
      </c>
      <c r="C155" s="4" t="s">
        <v>23</v>
      </c>
      <c r="D155" s="4" t="s">
        <v>24</v>
      </c>
      <c r="E155" s="4" t="s">
        <v>24</v>
      </c>
      <c r="F155" s="4" t="s">
        <v>25</v>
      </c>
      <c r="G155" s="4" t="s">
        <v>25</v>
      </c>
      <c r="H155" s="4" t="s">
        <v>25</v>
      </c>
      <c r="I155" s="5">
        <v>44621</v>
      </c>
      <c r="J155" s="6">
        <v>0</v>
      </c>
      <c r="K155" s="6">
        <v>0</v>
      </c>
      <c r="L155" s="6">
        <v>-3.2749999999999999</v>
      </c>
      <c r="M155" s="6">
        <v>-3.2749999999999999</v>
      </c>
      <c r="N155" s="6">
        <v>-3.2749999999999999</v>
      </c>
      <c r="O155" s="6">
        <v>-3.2749999999999999</v>
      </c>
      <c r="P155" s="6">
        <v>0</v>
      </c>
      <c r="Q155" s="4" t="s">
        <v>26</v>
      </c>
      <c r="R155" s="4">
        <v>0</v>
      </c>
      <c r="S155" s="4" t="s">
        <v>188</v>
      </c>
      <c r="T155" s="4" t="s">
        <v>377</v>
      </c>
      <c r="U155" s="4">
        <v>0</v>
      </c>
      <c r="V155" s="4">
        <v>32</v>
      </c>
      <c r="W155" s="4">
        <v>76</v>
      </c>
    </row>
    <row r="156" spans="1:23" ht="11.25" customHeight="1" x14ac:dyDescent="0.3">
      <c r="A156" s="4" t="s">
        <v>28</v>
      </c>
      <c r="B156" s="4" t="s">
        <v>22</v>
      </c>
      <c r="C156" s="4" t="s">
        <v>23</v>
      </c>
      <c r="D156" s="4" t="s">
        <v>24</v>
      </c>
      <c r="E156" s="4" t="s">
        <v>24</v>
      </c>
      <c r="F156" s="4" t="s">
        <v>25</v>
      </c>
      <c r="G156" s="4" t="s">
        <v>25</v>
      </c>
      <c r="H156" s="4" t="s">
        <v>25</v>
      </c>
      <c r="I156" s="5">
        <v>44621</v>
      </c>
      <c r="J156" s="6">
        <v>0</v>
      </c>
      <c r="K156" s="6">
        <v>0</v>
      </c>
      <c r="L156" s="6">
        <v>28.681999999999999</v>
      </c>
      <c r="M156" s="6">
        <v>28.681999999999999</v>
      </c>
      <c r="N156" s="6">
        <v>28.681999999999999</v>
      </c>
      <c r="O156" s="6">
        <v>28.681999999999999</v>
      </c>
      <c r="P156" s="6">
        <v>76</v>
      </c>
      <c r="Q156" s="4" t="s">
        <v>26</v>
      </c>
      <c r="R156" s="4">
        <v>0</v>
      </c>
      <c r="S156" s="4" t="s">
        <v>188</v>
      </c>
      <c r="T156" s="4" t="s">
        <v>377</v>
      </c>
      <c r="U156" s="4">
        <v>0</v>
      </c>
      <c r="V156" s="4">
        <v>32</v>
      </c>
      <c r="W156" s="4">
        <v>76</v>
      </c>
    </row>
    <row r="157" spans="1:23" ht="11.25" customHeight="1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24</v>
      </c>
      <c r="F157" s="4" t="s">
        <v>25</v>
      </c>
      <c r="G157" s="4" t="s">
        <v>25</v>
      </c>
      <c r="H157" s="4" t="s">
        <v>25</v>
      </c>
      <c r="I157" s="5">
        <v>44652</v>
      </c>
      <c r="J157" s="6">
        <v>0</v>
      </c>
      <c r="K157" s="6">
        <v>0</v>
      </c>
      <c r="L157" s="6">
        <v>1364.9770000000001</v>
      </c>
      <c r="M157" s="6">
        <v>1364.9770000000001</v>
      </c>
      <c r="N157" s="6">
        <v>1364.9770000000001</v>
      </c>
      <c r="O157" s="6">
        <v>1364.9770000000001</v>
      </c>
      <c r="P157" s="6">
        <v>8104</v>
      </c>
      <c r="Q157" s="4" t="s">
        <v>26</v>
      </c>
      <c r="R157" s="4">
        <v>0</v>
      </c>
      <c r="S157" s="4" t="s">
        <v>189</v>
      </c>
      <c r="T157" s="4" t="s">
        <v>378</v>
      </c>
      <c r="U157" s="4">
        <v>0</v>
      </c>
      <c r="V157" s="4">
        <v>32</v>
      </c>
      <c r="W157" s="4">
        <v>76</v>
      </c>
    </row>
    <row r="158" spans="1:23" ht="11.25" customHeight="1" x14ac:dyDescent="0.3">
      <c r="A158" s="4" t="s">
        <v>27</v>
      </c>
      <c r="B158" s="4" t="s">
        <v>22</v>
      </c>
      <c r="C158" s="4" t="s">
        <v>23</v>
      </c>
      <c r="D158" s="4" t="s">
        <v>24</v>
      </c>
      <c r="E158" s="4" t="s">
        <v>24</v>
      </c>
      <c r="F158" s="4" t="s">
        <v>25</v>
      </c>
      <c r="G158" s="4" t="s">
        <v>25</v>
      </c>
      <c r="H158" s="4" t="s">
        <v>25</v>
      </c>
      <c r="I158" s="5">
        <v>44652</v>
      </c>
      <c r="J158" s="6">
        <v>0</v>
      </c>
      <c r="K158" s="6">
        <v>0</v>
      </c>
      <c r="L158" s="6">
        <v>5.3970000000000002</v>
      </c>
      <c r="M158" s="6">
        <v>5.3970000000000002</v>
      </c>
      <c r="N158" s="6">
        <v>5.3970000000000002</v>
      </c>
      <c r="O158" s="6">
        <v>5.3970000000000002</v>
      </c>
      <c r="P158" s="6">
        <v>0</v>
      </c>
      <c r="Q158" s="4" t="s">
        <v>26</v>
      </c>
      <c r="R158" s="4">
        <v>0</v>
      </c>
      <c r="S158" s="4" t="s">
        <v>189</v>
      </c>
      <c r="T158" s="4" t="s">
        <v>378</v>
      </c>
      <c r="U158" s="4">
        <v>0</v>
      </c>
      <c r="V158" s="4">
        <v>32</v>
      </c>
      <c r="W158" s="4">
        <v>76</v>
      </c>
    </row>
    <row r="159" spans="1:23" ht="11.25" customHeight="1" x14ac:dyDescent="0.3">
      <c r="A159" s="4" t="s">
        <v>28</v>
      </c>
      <c r="B159" s="4" t="s">
        <v>22</v>
      </c>
      <c r="C159" s="4" t="s">
        <v>23</v>
      </c>
      <c r="D159" s="4" t="s">
        <v>24</v>
      </c>
      <c r="E159" s="4" t="s">
        <v>24</v>
      </c>
      <c r="F159" s="4" t="s">
        <v>25</v>
      </c>
      <c r="G159" s="4" t="s">
        <v>25</v>
      </c>
      <c r="H159" s="4" t="s">
        <v>25</v>
      </c>
      <c r="I159" s="5">
        <v>44652</v>
      </c>
      <c r="J159" s="6">
        <v>0</v>
      </c>
      <c r="K159" s="6">
        <v>0</v>
      </c>
      <c r="L159" s="6">
        <v>31.420999999999999</v>
      </c>
      <c r="M159" s="6">
        <v>31.420999999999999</v>
      </c>
      <c r="N159" s="6">
        <v>31.420999999999999</v>
      </c>
      <c r="O159" s="6">
        <v>31.420999999999999</v>
      </c>
      <c r="P159" s="6">
        <v>78</v>
      </c>
      <c r="Q159" s="4" t="s">
        <v>26</v>
      </c>
      <c r="R159" s="4">
        <v>0</v>
      </c>
      <c r="S159" s="4" t="s">
        <v>189</v>
      </c>
      <c r="T159" s="4" t="s">
        <v>378</v>
      </c>
      <c r="U159" s="4">
        <v>0</v>
      </c>
      <c r="V159" s="4">
        <v>32</v>
      </c>
      <c r="W159" s="4">
        <v>76</v>
      </c>
    </row>
    <row r="160" spans="1:23" ht="11.25" customHeight="1" x14ac:dyDescent="0.3">
      <c r="A160" s="4" t="s">
        <v>28</v>
      </c>
      <c r="B160" s="4" t="s">
        <v>22</v>
      </c>
      <c r="C160" s="4" t="s">
        <v>23</v>
      </c>
      <c r="D160" s="4" t="s">
        <v>24</v>
      </c>
      <c r="E160" s="4" t="s">
        <v>24</v>
      </c>
      <c r="F160" s="4" t="s">
        <v>25</v>
      </c>
      <c r="G160" s="4" t="s">
        <v>25</v>
      </c>
      <c r="H160" s="4" t="s">
        <v>25</v>
      </c>
      <c r="I160" s="5">
        <v>44652</v>
      </c>
      <c r="J160" s="6">
        <v>0</v>
      </c>
      <c r="K160" s="6">
        <v>0</v>
      </c>
      <c r="L160" s="6">
        <v>-12.362</v>
      </c>
      <c r="M160" s="6">
        <v>-12.362</v>
      </c>
      <c r="N160" s="6">
        <v>-12.362</v>
      </c>
      <c r="O160" s="6">
        <v>-12.362</v>
      </c>
      <c r="P160" s="6">
        <v>1</v>
      </c>
      <c r="Q160" s="4" t="s">
        <v>26</v>
      </c>
      <c r="R160" s="4">
        <v>0</v>
      </c>
      <c r="S160" s="4" t="s">
        <v>189</v>
      </c>
      <c r="T160" s="4" t="s">
        <v>378</v>
      </c>
      <c r="U160" s="4">
        <v>0</v>
      </c>
      <c r="V160" s="4">
        <v>32</v>
      </c>
      <c r="W160" s="4">
        <v>76</v>
      </c>
    </row>
    <row r="161" spans="1:23" ht="11.25" customHeight="1" x14ac:dyDescent="0.3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24</v>
      </c>
      <c r="F161" s="4" t="s">
        <v>25</v>
      </c>
      <c r="G161" s="4" t="s">
        <v>25</v>
      </c>
      <c r="H161" s="4" t="s">
        <v>25</v>
      </c>
      <c r="I161" s="5">
        <v>44682</v>
      </c>
      <c r="J161" s="6">
        <v>0</v>
      </c>
      <c r="K161" s="6">
        <v>0</v>
      </c>
      <c r="L161" s="6">
        <v>1274.4059999999999</v>
      </c>
      <c r="M161" s="6">
        <v>1274.4059999999999</v>
      </c>
      <c r="N161" s="6">
        <v>1274.4059999999999</v>
      </c>
      <c r="O161" s="6">
        <v>1274.4059999999999</v>
      </c>
      <c r="P161" s="6">
        <v>8231</v>
      </c>
      <c r="Q161" s="4" t="s">
        <v>26</v>
      </c>
      <c r="R161" s="4">
        <v>0</v>
      </c>
      <c r="S161" s="4" t="s">
        <v>190</v>
      </c>
      <c r="T161" s="4" t="s">
        <v>379</v>
      </c>
      <c r="U161" s="4">
        <v>0</v>
      </c>
      <c r="V161" s="4">
        <v>32</v>
      </c>
      <c r="W161" s="4">
        <v>76</v>
      </c>
    </row>
    <row r="162" spans="1:23" ht="11.25" customHeight="1" x14ac:dyDescent="0.3">
      <c r="A162" s="4" t="s">
        <v>27</v>
      </c>
      <c r="B162" s="4" t="s">
        <v>22</v>
      </c>
      <c r="C162" s="4" t="s">
        <v>23</v>
      </c>
      <c r="D162" s="4" t="s">
        <v>24</v>
      </c>
      <c r="E162" s="4" t="s">
        <v>24</v>
      </c>
      <c r="F162" s="4" t="s">
        <v>25</v>
      </c>
      <c r="G162" s="4" t="s">
        <v>25</v>
      </c>
      <c r="H162" s="4" t="s">
        <v>25</v>
      </c>
      <c r="I162" s="5">
        <v>44682</v>
      </c>
      <c r="J162" s="6">
        <v>0</v>
      </c>
      <c r="K162" s="6">
        <v>0</v>
      </c>
      <c r="L162" s="6">
        <v>-11.041</v>
      </c>
      <c r="M162" s="6">
        <v>-11.041</v>
      </c>
      <c r="N162" s="6">
        <v>-11.041</v>
      </c>
      <c r="O162" s="6">
        <v>-11.041</v>
      </c>
      <c r="P162" s="6">
        <v>0</v>
      </c>
      <c r="Q162" s="4" t="s">
        <v>26</v>
      </c>
      <c r="R162" s="4">
        <v>0</v>
      </c>
      <c r="S162" s="4" t="s">
        <v>190</v>
      </c>
      <c r="T162" s="4" t="s">
        <v>379</v>
      </c>
      <c r="U162" s="4">
        <v>0</v>
      </c>
      <c r="V162" s="4">
        <v>32</v>
      </c>
      <c r="W162" s="4">
        <v>76</v>
      </c>
    </row>
    <row r="163" spans="1:23" ht="11.25" customHeight="1" x14ac:dyDescent="0.3">
      <c r="A163" s="4" t="s">
        <v>28</v>
      </c>
      <c r="B163" s="4" t="s">
        <v>22</v>
      </c>
      <c r="C163" s="4" t="s">
        <v>23</v>
      </c>
      <c r="D163" s="4" t="s">
        <v>24</v>
      </c>
      <c r="E163" s="4" t="s">
        <v>24</v>
      </c>
      <c r="F163" s="4" t="s">
        <v>25</v>
      </c>
      <c r="G163" s="4" t="s">
        <v>25</v>
      </c>
      <c r="H163" s="4" t="s">
        <v>25</v>
      </c>
      <c r="I163" s="5">
        <v>44682</v>
      </c>
      <c r="J163" s="6">
        <v>0</v>
      </c>
      <c r="K163" s="6">
        <v>0</v>
      </c>
      <c r="L163" s="6">
        <v>12.147</v>
      </c>
      <c r="M163" s="6">
        <v>12.147</v>
      </c>
      <c r="N163" s="6">
        <v>12.147</v>
      </c>
      <c r="O163" s="6">
        <v>12.147</v>
      </c>
      <c r="P163" s="6">
        <v>87</v>
      </c>
      <c r="Q163" s="4" t="s">
        <v>26</v>
      </c>
      <c r="R163" s="4">
        <v>0</v>
      </c>
      <c r="S163" s="4" t="s">
        <v>190</v>
      </c>
      <c r="T163" s="4" t="s">
        <v>379</v>
      </c>
      <c r="U163" s="4">
        <v>0</v>
      </c>
      <c r="V163" s="4">
        <v>32</v>
      </c>
      <c r="W163" s="4">
        <v>76</v>
      </c>
    </row>
    <row r="164" spans="1:23" ht="11.25" customHeight="1" x14ac:dyDescent="0.3">
      <c r="A164" s="4" t="s">
        <v>28</v>
      </c>
      <c r="B164" s="4" t="s">
        <v>22</v>
      </c>
      <c r="C164" s="4" t="s">
        <v>23</v>
      </c>
      <c r="D164" s="4" t="s">
        <v>24</v>
      </c>
      <c r="E164" s="4" t="s">
        <v>24</v>
      </c>
      <c r="F164" s="4" t="s">
        <v>25</v>
      </c>
      <c r="G164" s="4" t="s">
        <v>25</v>
      </c>
      <c r="H164" s="4" t="s">
        <v>25</v>
      </c>
      <c r="I164" s="5">
        <v>44682</v>
      </c>
      <c r="J164" s="6">
        <v>0</v>
      </c>
      <c r="K164" s="6">
        <v>0</v>
      </c>
      <c r="L164" s="6">
        <v>-17.548999999999999</v>
      </c>
      <c r="M164" s="6">
        <v>-17.548999999999999</v>
      </c>
      <c r="N164" s="6">
        <v>-17.548999999999999</v>
      </c>
      <c r="O164" s="6">
        <v>-17.548999999999999</v>
      </c>
      <c r="P164" s="6">
        <v>4</v>
      </c>
      <c r="Q164" s="4" t="s">
        <v>26</v>
      </c>
      <c r="R164" s="4">
        <v>0</v>
      </c>
      <c r="S164" s="4" t="s">
        <v>190</v>
      </c>
      <c r="T164" s="4" t="s">
        <v>379</v>
      </c>
      <c r="U164" s="4">
        <v>0</v>
      </c>
      <c r="V164" s="4">
        <v>32</v>
      </c>
      <c r="W164" s="4">
        <v>76</v>
      </c>
    </row>
    <row r="165" spans="1:23" ht="11.25" customHeight="1" x14ac:dyDescent="0.3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24</v>
      </c>
      <c r="F165" s="4" t="s">
        <v>25</v>
      </c>
      <c r="G165" s="4" t="s">
        <v>25</v>
      </c>
      <c r="H165" s="4" t="s">
        <v>25</v>
      </c>
      <c r="I165" s="5">
        <v>44713</v>
      </c>
      <c r="J165" s="6">
        <v>0</v>
      </c>
      <c r="K165" s="6">
        <v>0</v>
      </c>
      <c r="L165" s="6">
        <v>1329.1890000000001</v>
      </c>
      <c r="M165" s="6">
        <v>1329.1890000000001</v>
      </c>
      <c r="N165" s="6">
        <v>1329.1890000000001</v>
      </c>
      <c r="O165" s="6">
        <v>1329.1890000000001</v>
      </c>
      <c r="P165" s="6">
        <v>8264</v>
      </c>
      <c r="Q165" s="4" t="s">
        <v>26</v>
      </c>
      <c r="R165" s="4">
        <v>0</v>
      </c>
      <c r="S165" s="4" t="s">
        <v>191</v>
      </c>
      <c r="T165" s="4" t="s">
        <v>380</v>
      </c>
      <c r="U165" s="4">
        <v>0</v>
      </c>
      <c r="V165" s="4">
        <v>32</v>
      </c>
      <c r="W165" s="4">
        <v>76</v>
      </c>
    </row>
    <row r="166" spans="1:23" ht="11.25" customHeight="1" x14ac:dyDescent="0.3">
      <c r="A166" s="4" t="s">
        <v>27</v>
      </c>
      <c r="B166" s="4" t="s">
        <v>22</v>
      </c>
      <c r="C166" s="4" t="s">
        <v>23</v>
      </c>
      <c r="D166" s="4" t="s">
        <v>24</v>
      </c>
      <c r="E166" s="4" t="s">
        <v>24</v>
      </c>
      <c r="F166" s="4" t="s">
        <v>25</v>
      </c>
      <c r="G166" s="4" t="s">
        <v>25</v>
      </c>
      <c r="H166" s="4" t="s">
        <v>25</v>
      </c>
      <c r="I166" s="5">
        <v>44713</v>
      </c>
      <c r="J166" s="6">
        <v>0</v>
      </c>
      <c r="K166" s="6">
        <v>0</v>
      </c>
      <c r="L166" s="6">
        <v>-0.57799999999999996</v>
      </c>
      <c r="M166" s="6">
        <v>-0.57799999999999996</v>
      </c>
      <c r="N166" s="6">
        <v>-0.57799999999999996</v>
      </c>
      <c r="O166" s="6">
        <v>-0.57799999999999996</v>
      </c>
      <c r="P166" s="6">
        <v>0</v>
      </c>
      <c r="Q166" s="4" t="s">
        <v>26</v>
      </c>
      <c r="R166" s="4">
        <v>0</v>
      </c>
      <c r="S166" s="4" t="s">
        <v>191</v>
      </c>
      <c r="T166" s="4" t="s">
        <v>380</v>
      </c>
      <c r="U166" s="4">
        <v>0</v>
      </c>
      <c r="V166" s="4">
        <v>32</v>
      </c>
      <c r="W166" s="4">
        <v>76</v>
      </c>
    </row>
    <row r="167" spans="1:23" ht="11.25" customHeight="1" x14ac:dyDescent="0.3">
      <c r="A167" s="4" t="s">
        <v>28</v>
      </c>
      <c r="B167" s="4" t="s">
        <v>22</v>
      </c>
      <c r="C167" s="4" t="s">
        <v>23</v>
      </c>
      <c r="D167" s="4" t="s">
        <v>24</v>
      </c>
      <c r="E167" s="4" t="s">
        <v>24</v>
      </c>
      <c r="F167" s="4" t="s">
        <v>25</v>
      </c>
      <c r="G167" s="4" t="s">
        <v>25</v>
      </c>
      <c r="H167" s="4" t="s">
        <v>25</v>
      </c>
      <c r="I167" s="5">
        <v>44713</v>
      </c>
      <c r="J167" s="6">
        <v>0</v>
      </c>
      <c r="K167" s="6">
        <v>0</v>
      </c>
      <c r="L167" s="6">
        <v>0.192</v>
      </c>
      <c r="M167" s="6">
        <v>0.192</v>
      </c>
      <c r="N167" s="6">
        <v>0.192</v>
      </c>
      <c r="O167" s="6">
        <v>0.192</v>
      </c>
      <c r="P167" s="6">
        <v>3</v>
      </c>
      <c r="Q167" s="4" t="s">
        <v>26</v>
      </c>
      <c r="R167" s="4">
        <v>0</v>
      </c>
      <c r="S167" s="4" t="s">
        <v>191</v>
      </c>
      <c r="T167" s="4" t="s">
        <v>380</v>
      </c>
      <c r="U167" s="4">
        <v>0</v>
      </c>
      <c r="V167" s="4">
        <v>32</v>
      </c>
      <c r="W167" s="4">
        <v>76</v>
      </c>
    </row>
    <row r="168" spans="1:23" ht="11.25" customHeight="1" x14ac:dyDescent="0.3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24</v>
      </c>
      <c r="F168" s="4" t="s">
        <v>25</v>
      </c>
      <c r="G168" s="4" t="s">
        <v>25</v>
      </c>
      <c r="H168" s="4" t="s">
        <v>25</v>
      </c>
      <c r="I168" s="5">
        <v>44743</v>
      </c>
      <c r="J168" s="6">
        <v>0</v>
      </c>
      <c r="K168" s="6">
        <v>0</v>
      </c>
      <c r="L168" s="6">
        <v>1144.6780000000001</v>
      </c>
      <c r="M168" s="6">
        <v>1144.6780000000001</v>
      </c>
      <c r="N168" s="6">
        <v>1144.6780000000001</v>
      </c>
      <c r="O168" s="6">
        <v>1144.6780000000001</v>
      </c>
      <c r="P168" s="6">
        <v>8293</v>
      </c>
      <c r="Q168" s="4" t="s">
        <v>26</v>
      </c>
      <c r="R168" s="4">
        <v>0</v>
      </c>
      <c r="S168" s="4" t="s">
        <v>192</v>
      </c>
      <c r="T168" s="4" t="s">
        <v>381</v>
      </c>
      <c r="U168" s="4">
        <v>0</v>
      </c>
      <c r="V168" s="4">
        <v>32</v>
      </c>
      <c r="W168" s="4">
        <v>76</v>
      </c>
    </row>
    <row r="169" spans="1:23" ht="11.25" customHeight="1" x14ac:dyDescent="0.3">
      <c r="A169" s="4" t="s">
        <v>27</v>
      </c>
      <c r="B169" s="4" t="s">
        <v>22</v>
      </c>
      <c r="C169" s="4" t="s">
        <v>23</v>
      </c>
      <c r="D169" s="4" t="s">
        <v>24</v>
      </c>
      <c r="E169" s="4" t="s">
        <v>24</v>
      </c>
      <c r="F169" s="4" t="s">
        <v>25</v>
      </c>
      <c r="G169" s="4" t="s">
        <v>25</v>
      </c>
      <c r="H169" s="4" t="s">
        <v>25</v>
      </c>
      <c r="I169" s="5">
        <v>44743</v>
      </c>
      <c r="J169" s="6">
        <v>0</v>
      </c>
      <c r="K169" s="6">
        <v>0</v>
      </c>
      <c r="L169" s="6">
        <v>-1.2889999999999999</v>
      </c>
      <c r="M169" s="6">
        <v>-1.2889999999999999</v>
      </c>
      <c r="N169" s="6">
        <v>-1.2889999999999999</v>
      </c>
      <c r="O169" s="6">
        <v>-1.2889999999999999</v>
      </c>
      <c r="P169" s="6">
        <v>0</v>
      </c>
      <c r="Q169" s="4" t="s">
        <v>26</v>
      </c>
      <c r="R169" s="4">
        <v>0</v>
      </c>
      <c r="S169" s="4" t="s">
        <v>192</v>
      </c>
      <c r="T169" s="4" t="s">
        <v>381</v>
      </c>
      <c r="U169" s="4">
        <v>0</v>
      </c>
      <c r="V169" s="4">
        <v>32</v>
      </c>
      <c r="W169" s="4">
        <v>76</v>
      </c>
    </row>
    <row r="170" spans="1:23" ht="11.25" customHeight="1" x14ac:dyDescent="0.3">
      <c r="A170" s="4" t="s">
        <v>28</v>
      </c>
      <c r="B170" s="4" t="s">
        <v>22</v>
      </c>
      <c r="C170" s="4" t="s">
        <v>23</v>
      </c>
      <c r="D170" s="4" t="s">
        <v>24</v>
      </c>
      <c r="E170" s="4" t="s">
        <v>24</v>
      </c>
      <c r="F170" s="4" t="s">
        <v>25</v>
      </c>
      <c r="G170" s="4" t="s">
        <v>25</v>
      </c>
      <c r="H170" s="4" t="s">
        <v>25</v>
      </c>
      <c r="I170" s="5">
        <v>44743</v>
      </c>
      <c r="J170" s="6">
        <v>0</v>
      </c>
      <c r="K170" s="6">
        <v>0</v>
      </c>
      <c r="L170" s="6">
        <v>21.67</v>
      </c>
      <c r="M170" s="6">
        <v>21.67</v>
      </c>
      <c r="N170" s="6">
        <v>21.67</v>
      </c>
      <c r="O170" s="6">
        <v>21.67</v>
      </c>
      <c r="P170" s="6">
        <v>104</v>
      </c>
      <c r="Q170" s="4" t="s">
        <v>26</v>
      </c>
      <c r="R170" s="4">
        <v>0</v>
      </c>
      <c r="S170" s="4" t="s">
        <v>192</v>
      </c>
      <c r="T170" s="4" t="s">
        <v>381</v>
      </c>
      <c r="U170" s="4">
        <v>0</v>
      </c>
      <c r="V170" s="4">
        <v>32</v>
      </c>
      <c r="W170" s="4">
        <v>76</v>
      </c>
    </row>
    <row r="171" spans="1:23" ht="11.25" customHeight="1" x14ac:dyDescent="0.3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24</v>
      </c>
      <c r="F171" s="4" t="s">
        <v>25</v>
      </c>
      <c r="G171" s="4" t="s">
        <v>25</v>
      </c>
      <c r="H171" s="4" t="s">
        <v>25</v>
      </c>
      <c r="I171" s="5">
        <v>44774</v>
      </c>
      <c r="J171" s="6">
        <v>0</v>
      </c>
      <c r="K171" s="6">
        <v>0</v>
      </c>
      <c r="L171" s="6">
        <v>1352.2570000000001</v>
      </c>
      <c r="M171" s="6">
        <v>1352.2570000000001</v>
      </c>
      <c r="N171" s="6">
        <v>1352.2570000000001</v>
      </c>
      <c r="O171" s="6">
        <v>1352.2570000000001</v>
      </c>
      <c r="P171" s="6">
        <v>8393</v>
      </c>
      <c r="Q171" s="4" t="s">
        <v>26</v>
      </c>
      <c r="R171" s="4">
        <v>0</v>
      </c>
      <c r="S171" s="4" t="s">
        <v>193</v>
      </c>
      <c r="T171" s="4" t="s">
        <v>382</v>
      </c>
      <c r="U171" s="4">
        <v>0</v>
      </c>
      <c r="V171" s="4">
        <v>32</v>
      </c>
      <c r="W171" s="4">
        <v>76</v>
      </c>
    </row>
    <row r="172" spans="1:23" ht="11.25" customHeight="1" x14ac:dyDescent="0.3">
      <c r="A172" s="4" t="s">
        <v>27</v>
      </c>
      <c r="B172" s="4" t="s">
        <v>22</v>
      </c>
      <c r="C172" s="4" t="s">
        <v>23</v>
      </c>
      <c r="D172" s="4" t="s">
        <v>24</v>
      </c>
      <c r="E172" s="4" t="s">
        <v>24</v>
      </c>
      <c r="F172" s="4" t="s">
        <v>25</v>
      </c>
      <c r="G172" s="4" t="s">
        <v>25</v>
      </c>
      <c r="H172" s="4" t="s">
        <v>25</v>
      </c>
      <c r="I172" s="5">
        <v>44774</v>
      </c>
      <c r="J172" s="6">
        <v>0</v>
      </c>
      <c r="K172" s="6">
        <v>0</v>
      </c>
      <c r="L172" s="6">
        <v>-0.123</v>
      </c>
      <c r="M172" s="6">
        <v>-0.123</v>
      </c>
      <c r="N172" s="6">
        <v>-0.123</v>
      </c>
      <c r="O172" s="6">
        <v>-0.123</v>
      </c>
      <c r="P172" s="6">
        <v>0</v>
      </c>
      <c r="Q172" s="4" t="s">
        <v>26</v>
      </c>
      <c r="R172" s="4">
        <v>0</v>
      </c>
      <c r="S172" s="4" t="s">
        <v>193</v>
      </c>
      <c r="T172" s="4" t="s">
        <v>382</v>
      </c>
      <c r="U172" s="4">
        <v>0</v>
      </c>
      <c r="V172" s="4">
        <v>32</v>
      </c>
      <c r="W172" s="4">
        <v>76</v>
      </c>
    </row>
    <row r="173" spans="1:23" ht="11.25" customHeight="1" x14ac:dyDescent="0.3">
      <c r="A173" s="4" t="s">
        <v>28</v>
      </c>
      <c r="B173" s="4" t="s">
        <v>22</v>
      </c>
      <c r="C173" s="4" t="s">
        <v>23</v>
      </c>
      <c r="D173" s="4" t="s">
        <v>24</v>
      </c>
      <c r="E173" s="4" t="s">
        <v>24</v>
      </c>
      <c r="F173" s="4" t="s">
        <v>25</v>
      </c>
      <c r="G173" s="4" t="s">
        <v>25</v>
      </c>
      <c r="H173" s="4" t="s">
        <v>25</v>
      </c>
      <c r="I173" s="5">
        <v>44774</v>
      </c>
      <c r="J173" s="6">
        <v>0</v>
      </c>
      <c r="K173" s="6">
        <v>0</v>
      </c>
      <c r="L173" s="6">
        <v>20.401</v>
      </c>
      <c r="M173" s="6">
        <v>20.401</v>
      </c>
      <c r="N173" s="6">
        <v>20.401</v>
      </c>
      <c r="O173" s="6">
        <v>20.401</v>
      </c>
      <c r="P173" s="6">
        <v>112</v>
      </c>
      <c r="Q173" s="4" t="s">
        <v>26</v>
      </c>
      <c r="R173" s="4">
        <v>0</v>
      </c>
      <c r="S173" s="4" t="s">
        <v>193</v>
      </c>
      <c r="T173" s="4" t="s">
        <v>382</v>
      </c>
      <c r="U173" s="4">
        <v>0</v>
      </c>
      <c r="V173" s="4">
        <v>32</v>
      </c>
      <c r="W173" s="4">
        <v>76</v>
      </c>
    </row>
    <row r="174" spans="1:23" ht="11.25" customHeight="1" x14ac:dyDescent="0.3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29</v>
      </c>
      <c r="F174" s="4" t="s">
        <v>25</v>
      </c>
      <c r="G174" s="4" t="s">
        <v>25</v>
      </c>
      <c r="H174" s="4" t="s">
        <v>25</v>
      </c>
      <c r="I174" s="5">
        <v>44440</v>
      </c>
      <c r="J174" s="6">
        <v>0</v>
      </c>
      <c r="K174" s="6">
        <v>0</v>
      </c>
      <c r="L174" s="6">
        <v>6.03</v>
      </c>
      <c r="M174" s="6">
        <v>6.03</v>
      </c>
      <c r="N174" s="6">
        <v>6.03</v>
      </c>
      <c r="O174" s="6">
        <v>6.03</v>
      </c>
      <c r="P174" s="6">
        <v>13</v>
      </c>
      <c r="Q174" s="4" t="s">
        <v>26</v>
      </c>
      <c r="R174" s="4">
        <v>0</v>
      </c>
      <c r="S174" s="4" t="s">
        <v>194</v>
      </c>
      <c r="T174" s="4" t="s">
        <v>383</v>
      </c>
      <c r="U174" s="4">
        <v>0</v>
      </c>
      <c r="V174" s="4">
        <v>34</v>
      </c>
      <c r="W174" s="4">
        <v>77</v>
      </c>
    </row>
    <row r="175" spans="1:23" ht="11.25" customHeight="1" x14ac:dyDescent="0.3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29</v>
      </c>
      <c r="F175" s="4" t="s">
        <v>25</v>
      </c>
      <c r="G175" s="4" t="s">
        <v>25</v>
      </c>
      <c r="H175" s="4" t="s">
        <v>25</v>
      </c>
      <c r="I175" s="5">
        <v>44470</v>
      </c>
      <c r="J175" s="6">
        <v>0</v>
      </c>
      <c r="K175" s="6">
        <v>0</v>
      </c>
      <c r="L175" s="6">
        <v>6</v>
      </c>
      <c r="M175" s="6">
        <v>6</v>
      </c>
      <c r="N175" s="6">
        <v>6</v>
      </c>
      <c r="O175" s="6">
        <v>6</v>
      </c>
      <c r="P175" s="6">
        <v>14</v>
      </c>
      <c r="Q175" s="4" t="s">
        <v>26</v>
      </c>
      <c r="R175" s="4">
        <v>0</v>
      </c>
      <c r="S175" s="4" t="s">
        <v>195</v>
      </c>
      <c r="T175" s="4" t="s">
        <v>384</v>
      </c>
      <c r="U175" s="4">
        <v>0</v>
      </c>
      <c r="V175" s="4">
        <v>34</v>
      </c>
      <c r="W175" s="4">
        <v>77</v>
      </c>
    </row>
    <row r="176" spans="1:23" ht="11.25" customHeight="1" x14ac:dyDescent="0.3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29</v>
      </c>
      <c r="F176" s="4" t="s">
        <v>25</v>
      </c>
      <c r="G176" s="4" t="s">
        <v>25</v>
      </c>
      <c r="H176" s="4" t="s">
        <v>25</v>
      </c>
      <c r="I176" s="5">
        <v>44501</v>
      </c>
      <c r="J176" s="6">
        <v>0</v>
      </c>
      <c r="K176" s="6">
        <v>0</v>
      </c>
      <c r="L176" s="6">
        <v>6.03</v>
      </c>
      <c r="M176" s="6">
        <v>6.03</v>
      </c>
      <c r="N176" s="6">
        <v>6.03</v>
      </c>
      <c r="O176" s="6">
        <v>6.03</v>
      </c>
      <c r="P176" s="6">
        <v>11</v>
      </c>
      <c r="Q176" s="4" t="s">
        <v>26</v>
      </c>
      <c r="R176" s="4">
        <v>0</v>
      </c>
      <c r="S176" s="4" t="s">
        <v>196</v>
      </c>
      <c r="T176" s="4" t="s">
        <v>385</v>
      </c>
      <c r="U176" s="4">
        <v>0</v>
      </c>
      <c r="V176" s="4">
        <v>34</v>
      </c>
      <c r="W176" s="4">
        <v>77</v>
      </c>
    </row>
    <row r="177" spans="1:23" ht="11.25" customHeight="1" x14ac:dyDescent="0.3">
      <c r="A177" s="4" t="s">
        <v>27</v>
      </c>
      <c r="B177" s="4" t="s">
        <v>22</v>
      </c>
      <c r="C177" s="4" t="s">
        <v>23</v>
      </c>
      <c r="D177" s="4" t="s">
        <v>24</v>
      </c>
      <c r="E177" s="4" t="s">
        <v>29</v>
      </c>
      <c r="F177" s="4" t="s">
        <v>25</v>
      </c>
      <c r="G177" s="4" t="s">
        <v>25</v>
      </c>
      <c r="H177" s="4" t="s">
        <v>25</v>
      </c>
      <c r="I177" s="5">
        <v>44501</v>
      </c>
      <c r="J177" s="6">
        <v>0</v>
      </c>
      <c r="K177" s="6">
        <v>0</v>
      </c>
      <c r="L177" s="6">
        <v>-5.0000000000000001E-3</v>
      </c>
      <c r="M177" s="6">
        <v>-5.0000000000000001E-3</v>
      </c>
      <c r="N177" s="6">
        <v>-5.0000000000000001E-3</v>
      </c>
      <c r="O177" s="6">
        <v>-5.0000000000000001E-3</v>
      </c>
      <c r="P177" s="6">
        <v>0</v>
      </c>
      <c r="Q177" s="4" t="s">
        <v>26</v>
      </c>
      <c r="R177" s="4">
        <v>0</v>
      </c>
      <c r="S177" s="4" t="s">
        <v>196</v>
      </c>
      <c r="T177" s="4" t="s">
        <v>385</v>
      </c>
      <c r="U177" s="4">
        <v>0</v>
      </c>
      <c r="V177" s="4">
        <v>34</v>
      </c>
      <c r="W177" s="4">
        <v>77</v>
      </c>
    </row>
    <row r="178" spans="1:23" ht="11.25" customHeight="1" x14ac:dyDescent="0.3">
      <c r="A178" s="4" t="s">
        <v>28</v>
      </c>
      <c r="B178" s="4" t="s">
        <v>22</v>
      </c>
      <c r="C178" s="4" t="s">
        <v>23</v>
      </c>
      <c r="D178" s="4" t="s">
        <v>24</v>
      </c>
      <c r="E178" s="4" t="s">
        <v>29</v>
      </c>
      <c r="F178" s="4" t="s">
        <v>25</v>
      </c>
      <c r="G178" s="4" t="s">
        <v>25</v>
      </c>
      <c r="H178" s="4" t="s">
        <v>25</v>
      </c>
      <c r="I178" s="5">
        <v>44501</v>
      </c>
      <c r="J178" s="6">
        <v>0</v>
      </c>
      <c r="K178" s="6">
        <v>0</v>
      </c>
      <c r="L178" s="6">
        <v>0.03</v>
      </c>
      <c r="M178" s="6">
        <v>1.0500000000000001E-2</v>
      </c>
      <c r="N178" s="6">
        <v>0.03</v>
      </c>
      <c r="O178" s="6">
        <v>1.0500000000000001E-2</v>
      </c>
      <c r="P178" s="6">
        <v>0</v>
      </c>
      <c r="Q178" s="4" t="s">
        <v>26</v>
      </c>
      <c r="R178" s="4">
        <v>0</v>
      </c>
      <c r="S178" s="4" t="s">
        <v>196</v>
      </c>
      <c r="T178" s="4" t="s">
        <v>385</v>
      </c>
      <c r="U178" s="4">
        <v>0</v>
      </c>
      <c r="V178" s="4">
        <v>34</v>
      </c>
      <c r="W178" s="4">
        <v>77</v>
      </c>
    </row>
    <row r="179" spans="1:23" ht="11.25" customHeight="1" x14ac:dyDescent="0.3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29</v>
      </c>
      <c r="F179" s="4" t="s">
        <v>25</v>
      </c>
      <c r="G179" s="4" t="s">
        <v>25</v>
      </c>
      <c r="H179" s="4" t="s">
        <v>25</v>
      </c>
      <c r="I179" s="5">
        <v>44531</v>
      </c>
      <c r="J179" s="6">
        <v>0</v>
      </c>
      <c r="K179" s="6">
        <v>0</v>
      </c>
      <c r="L179" s="6">
        <v>6.03</v>
      </c>
      <c r="M179" s="6">
        <v>6.03</v>
      </c>
      <c r="N179" s="6">
        <v>6.03</v>
      </c>
      <c r="O179" s="6">
        <v>6.03</v>
      </c>
      <c r="P179" s="6">
        <v>12</v>
      </c>
      <c r="Q179" s="4" t="s">
        <v>26</v>
      </c>
      <c r="R179" s="4">
        <v>0</v>
      </c>
      <c r="S179" s="4" t="s">
        <v>197</v>
      </c>
      <c r="T179" s="4" t="s">
        <v>386</v>
      </c>
      <c r="U179" s="4">
        <v>0</v>
      </c>
      <c r="V179" s="4">
        <v>34</v>
      </c>
      <c r="W179" s="4">
        <v>77</v>
      </c>
    </row>
    <row r="180" spans="1:23" ht="11.25" customHeight="1" x14ac:dyDescent="0.3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29</v>
      </c>
      <c r="F180" s="4" t="s">
        <v>25</v>
      </c>
      <c r="G180" s="4" t="s">
        <v>25</v>
      </c>
      <c r="H180" s="4" t="s">
        <v>25</v>
      </c>
      <c r="I180" s="5">
        <v>44562</v>
      </c>
      <c r="J180" s="6">
        <v>0</v>
      </c>
      <c r="K180" s="6">
        <v>0</v>
      </c>
      <c r="L180" s="6">
        <v>5.97</v>
      </c>
      <c r="M180" s="6">
        <v>5.97</v>
      </c>
      <c r="N180" s="6">
        <v>5.97</v>
      </c>
      <c r="O180" s="6">
        <v>5.97</v>
      </c>
      <c r="P180" s="6">
        <v>10</v>
      </c>
      <c r="Q180" s="4" t="s">
        <v>26</v>
      </c>
      <c r="R180" s="4">
        <v>0</v>
      </c>
      <c r="S180" s="4" t="s">
        <v>198</v>
      </c>
      <c r="T180" s="4" t="s">
        <v>387</v>
      </c>
      <c r="U180" s="4">
        <v>0</v>
      </c>
      <c r="V180" s="4">
        <v>34</v>
      </c>
      <c r="W180" s="4">
        <v>77</v>
      </c>
    </row>
    <row r="181" spans="1:23" ht="11.25" customHeight="1" x14ac:dyDescent="0.3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29</v>
      </c>
      <c r="F181" s="4" t="s">
        <v>25</v>
      </c>
      <c r="G181" s="4" t="s">
        <v>25</v>
      </c>
      <c r="H181" s="4" t="s">
        <v>25</v>
      </c>
      <c r="I181" s="5">
        <v>44593</v>
      </c>
      <c r="J181" s="6">
        <v>0</v>
      </c>
      <c r="K181" s="6">
        <v>0</v>
      </c>
      <c r="L181" s="6">
        <v>5.7750000000000004</v>
      </c>
      <c r="M181" s="6">
        <v>5.7750000000000004</v>
      </c>
      <c r="N181" s="6">
        <v>5.7750000000000004</v>
      </c>
      <c r="O181" s="6">
        <v>5.7750000000000004</v>
      </c>
      <c r="P181" s="6">
        <v>9</v>
      </c>
      <c r="Q181" s="4" t="s">
        <v>26</v>
      </c>
      <c r="R181" s="4">
        <v>0</v>
      </c>
      <c r="S181" s="4" t="s">
        <v>199</v>
      </c>
      <c r="T181" s="4" t="s">
        <v>388</v>
      </c>
      <c r="U181" s="4">
        <v>0</v>
      </c>
      <c r="V181" s="4">
        <v>34</v>
      </c>
      <c r="W181" s="4">
        <v>77</v>
      </c>
    </row>
    <row r="182" spans="1:23" ht="11.25" customHeight="1" x14ac:dyDescent="0.3">
      <c r="A182" s="4" t="s">
        <v>28</v>
      </c>
      <c r="B182" s="4" t="s">
        <v>22</v>
      </c>
      <c r="C182" s="4" t="s">
        <v>23</v>
      </c>
      <c r="D182" s="4" t="s">
        <v>24</v>
      </c>
      <c r="E182" s="4" t="s">
        <v>29</v>
      </c>
      <c r="F182" s="4" t="s">
        <v>25</v>
      </c>
      <c r="G182" s="4" t="s">
        <v>25</v>
      </c>
      <c r="H182" s="4" t="s">
        <v>25</v>
      </c>
      <c r="I182" s="5">
        <v>44593</v>
      </c>
      <c r="J182" s="6">
        <v>0</v>
      </c>
      <c r="K182" s="6">
        <v>0</v>
      </c>
      <c r="L182" s="6">
        <v>0.03</v>
      </c>
      <c r="M182" s="6">
        <v>1.0500000000000001E-2</v>
      </c>
      <c r="N182" s="6">
        <v>0.03</v>
      </c>
      <c r="O182" s="6">
        <v>1.0500000000000001E-2</v>
      </c>
      <c r="P182" s="6">
        <v>0</v>
      </c>
      <c r="Q182" s="4" t="s">
        <v>26</v>
      </c>
      <c r="R182" s="4">
        <v>0</v>
      </c>
      <c r="S182" s="4" t="s">
        <v>199</v>
      </c>
      <c r="T182" s="4" t="s">
        <v>388</v>
      </c>
      <c r="U182" s="4">
        <v>0</v>
      </c>
      <c r="V182" s="4">
        <v>34</v>
      </c>
      <c r="W182" s="4">
        <v>77</v>
      </c>
    </row>
    <row r="183" spans="1:23" ht="11.25" customHeight="1" x14ac:dyDescent="0.3">
      <c r="A183" s="4" t="s">
        <v>21</v>
      </c>
      <c r="B183" s="4" t="s">
        <v>22</v>
      </c>
      <c r="C183" s="4" t="s">
        <v>23</v>
      </c>
      <c r="D183" s="4" t="s">
        <v>24</v>
      </c>
      <c r="E183" s="4" t="s">
        <v>29</v>
      </c>
      <c r="F183" s="4" t="s">
        <v>25</v>
      </c>
      <c r="G183" s="4" t="s">
        <v>25</v>
      </c>
      <c r="H183" s="4" t="s">
        <v>25</v>
      </c>
      <c r="I183" s="5">
        <v>44621</v>
      </c>
      <c r="J183" s="6">
        <v>0</v>
      </c>
      <c r="K183" s="6">
        <v>0</v>
      </c>
      <c r="L183" s="6">
        <v>6.54</v>
      </c>
      <c r="M183" s="6">
        <v>6.54</v>
      </c>
      <c r="N183" s="6">
        <v>6.54</v>
      </c>
      <c r="O183" s="6">
        <v>6.54</v>
      </c>
      <c r="P183" s="6">
        <v>13</v>
      </c>
      <c r="Q183" s="4" t="s">
        <v>26</v>
      </c>
      <c r="R183" s="4">
        <v>0</v>
      </c>
      <c r="S183" s="4" t="s">
        <v>200</v>
      </c>
      <c r="T183" s="4" t="s">
        <v>389</v>
      </c>
      <c r="U183" s="4">
        <v>0</v>
      </c>
      <c r="V183" s="4">
        <v>34</v>
      </c>
      <c r="W183" s="4">
        <v>77</v>
      </c>
    </row>
    <row r="184" spans="1:23" ht="11.25" customHeight="1" x14ac:dyDescent="0.3">
      <c r="A184" s="4" t="s">
        <v>28</v>
      </c>
      <c r="B184" s="4" t="s">
        <v>22</v>
      </c>
      <c r="C184" s="4" t="s">
        <v>23</v>
      </c>
      <c r="D184" s="4" t="s">
        <v>24</v>
      </c>
      <c r="E184" s="4" t="s">
        <v>29</v>
      </c>
      <c r="F184" s="4" t="s">
        <v>25</v>
      </c>
      <c r="G184" s="4" t="s">
        <v>25</v>
      </c>
      <c r="H184" s="4" t="s">
        <v>25</v>
      </c>
      <c r="I184" s="5">
        <v>44621</v>
      </c>
      <c r="J184" s="6">
        <v>0</v>
      </c>
      <c r="K184" s="6">
        <v>0</v>
      </c>
      <c r="L184" s="6">
        <v>0.03</v>
      </c>
      <c r="M184" s="6">
        <v>1.0500000000000001E-2</v>
      </c>
      <c r="N184" s="6">
        <v>0.03</v>
      </c>
      <c r="O184" s="6">
        <v>1.0500000000000001E-2</v>
      </c>
      <c r="P184" s="6">
        <v>0</v>
      </c>
      <c r="Q184" s="4" t="s">
        <v>26</v>
      </c>
      <c r="R184" s="4">
        <v>0</v>
      </c>
      <c r="S184" s="4" t="s">
        <v>200</v>
      </c>
      <c r="T184" s="4" t="s">
        <v>389</v>
      </c>
      <c r="U184" s="4">
        <v>0</v>
      </c>
      <c r="V184" s="4">
        <v>34</v>
      </c>
      <c r="W184" s="4">
        <v>77</v>
      </c>
    </row>
    <row r="185" spans="1:23" ht="11.25" customHeight="1" x14ac:dyDescent="0.3">
      <c r="A185" s="4" t="s">
        <v>21</v>
      </c>
      <c r="B185" s="4" t="s">
        <v>22</v>
      </c>
      <c r="C185" s="4" t="s">
        <v>23</v>
      </c>
      <c r="D185" s="4" t="s">
        <v>24</v>
      </c>
      <c r="E185" s="4" t="s">
        <v>29</v>
      </c>
      <c r="F185" s="4" t="s">
        <v>25</v>
      </c>
      <c r="G185" s="4" t="s">
        <v>25</v>
      </c>
      <c r="H185" s="4" t="s">
        <v>25</v>
      </c>
      <c r="I185" s="5">
        <v>44652</v>
      </c>
      <c r="J185" s="6">
        <v>0</v>
      </c>
      <c r="K185" s="6">
        <v>0</v>
      </c>
      <c r="L185" s="6">
        <v>11.1</v>
      </c>
      <c r="M185" s="6">
        <v>11.1</v>
      </c>
      <c r="N185" s="6">
        <v>11.1</v>
      </c>
      <c r="O185" s="6">
        <v>11.1</v>
      </c>
      <c r="P185" s="6">
        <v>31</v>
      </c>
      <c r="Q185" s="4" t="s">
        <v>26</v>
      </c>
      <c r="R185" s="4">
        <v>0</v>
      </c>
      <c r="S185" s="4" t="s">
        <v>201</v>
      </c>
      <c r="T185" s="4" t="s">
        <v>390</v>
      </c>
      <c r="U185" s="4">
        <v>0</v>
      </c>
      <c r="V185" s="4">
        <v>34</v>
      </c>
      <c r="W185" s="4">
        <v>77</v>
      </c>
    </row>
    <row r="186" spans="1:23" ht="11.25" customHeight="1" x14ac:dyDescent="0.3">
      <c r="A186" s="4" t="s">
        <v>27</v>
      </c>
      <c r="B186" s="4" t="s">
        <v>22</v>
      </c>
      <c r="C186" s="4" t="s">
        <v>23</v>
      </c>
      <c r="D186" s="4" t="s">
        <v>24</v>
      </c>
      <c r="E186" s="4" t="s">
        <v>29</v>
      </c>
      <c r="F186" s="4" t="s">
        <v>25</v>
      </c>
      <c r="G186" s="4" t="s">
        <v>25</v>
      </c>
      <c r="H186" s="4" t="s">
        <v>25</v>
      </c>
      <c r="I186" s="5">
        <v>44652</v>
      </c>
      <c r="J186" s="6">
        <v>0</v>
      </c>
      <c r="K186" s="6">
        <v>0</v>
      </c>
      <c r="L186" s="6">
        <v>-0.03</v>
      </c>
      <c r="M186" s="6">
        <v>-0.03</v>
      </c>
      <c r="N186" s="6">
        <v>-0.03</v>
      </c>
      <c r="O186" s="6">
        <v>-0.03</v>
      </c>
      <c r="P186" s="6">
        <v>0</v>
      </c>
      <c r="Q186" s="4" t="s">
        <v>26</v>
      </c>
      <c r="R186" s="4">
        <v>0</v>
      </c>
      <c r="S186" s="4" t="s">
        <v>201</v>
      </c>
      <c r="T186" s="4" t="s">
        <v>390</v>
      </c>
      <c r="U186" s="4">
        <v>0</v>
      </c>
      <c r="V186" s="4">
        <v>34</v>
      </c>
      <c r="W186" s="4">
        <v>77</v>
      </c>
    </row>
    <row r="187" spans="1:23" ht="11.25" customHeight="1" x14ac:dyDescent="0.3">
      <c r="A187" s="4" t="s">
        <v>28</v>
      </c>
      <c r="B187" s="4" t="s">
        <v>22</v>
      </c>
      <c r="C187" s="4" t="s">
        <v>23</v>
      </c>
      <c r="D187" s="4" t="s">
        <v>24</v>
      </c>
      <c r="E187" s="4" t="s">
        <v>29</v>
      </c>
      <c r="F187" s="4" t="s">
        <v>25</v>
      </c>
      <c r="G187" s="4" t="s">
        <v>25</v>
      </c>
      <c r="H187" s="4" t="s">
        <v>25</v>
      </c>
      <c r="I187" s="5">
        <v>44652</v>
      </c>
      <c r="J187" s="6">
        <v>0</v>
      </c>
      <c r="K187" s="6">
        <v>0</v>
      </c>
      <c r="L187" s="6">
        <v>5.2999999999999999E-2</v>
      </c>
      <c r="M187" s="6">
        <v>-5.0349999999999999E-2</v>
      </c>
      <c r="N187" s="6">
        <v>5.2999999999999999E-2</v>
      </c>
      <c r="O187" s="6">
        <v>-5.0349999999999999E-2</v>
      </c>
      <c r="P187" s="6">
        <v>0</v>
      </c>
      <c r="Q187" s="4" t="s">
        <v>26</v>
      </c>
      <c r="R187" s="4">
        <v>0</v>
      </c>
      <c r="S187" s="4" t="s">
        <v>201</v>
      </c>
      <c r="T187" s="4" t="s">
        <v>390</v>
      </c>
      <c r="U187" s="4">
        <v>0</v>
      </c>
      <c r="V187" s="4">
        <v>34</v>
      </c>
      <c r="W187" s="4">
        <v>77</v>
      </c>
    </row>
    <row r="188" spans="1:23" ht="11.25" customHeight="1" x14ac:dyDescent="0.3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29</v>
      </c>
      <c r="F188" s="4" t="s">
        <v>25</v>
      </c>
      <c r="G188" s="4" t="s">
        <v>25</v>
      </c>
      <c r="H188" s="4" t="s">
        <v>25</v>
      </c>
      <c r="I188" s="5">
        <v>44682</v>
      </c>
      <c r="J188" s="6">
        <v>0</v>
      </c>
      <c r="K188" s="6">
        <v>0</v>
      </c>
      <c r="L188" s="6">
        <v>8.52</v>
      </c>
      <c r="M188" s="6">
        <v>8.52</v>
      </c>
      <c r="N188" s="6">
        <v>8.52</v>
      </c>
      <c r="O188" s="6">
        <v>8.52</v>
      </c>
      <c r="P188" s="6">
        <v>26</v>
      </c>
      <c r="Q188" s="4" t="s">
        <v>26</v>
      </c>
      <c r="R188" s="4">
        <v>0</v>
      </c>
      <c r="S188" s="4" t="s">
        <v>202</v>
      </c>
      <c r="T188" s="4" t="s">
        <v>391</v>
      </c>
      <c r="U188" s="4">
        <v>0</v>
      </c>
      <c r="V188" s="4">
        <v>34</v>
      </c>
      <c r="W188" s="4">
        <v>77</v>
      </c>
    </row>
    <row r="189" spans="1:23" ht="11.25" customHeight="1" x14ac:dyDescent="0.3">
      <c r="A189" s="4" t="s">
        <v>28</v>
      </c>
      <c r="B189" s="4" t="s">
        <v>22</v>
      </c>
      <c r="C189" s="4" t="s">
        <v>23</v>
      </c>
      <c r="D189" s="4" t="s">
        <v>24</v>
      </c>
      <c r="E189" s="4" t="s">
        <v>29</v>
      </c>
      <c r="F189" s="4" t="s">
        <v>25</v>
      </c>
      <c r="G189" s="4" t="s">
        <v>25</v>
      </c>
      <c r="H189" s="4" t="s">
        <v>25</v>
      </c>
      <c r="I189" s="5">
        <v>44682</v>
      </c>
      <c r="J189" s="6">
        <v>0</v>
      </c>
      <c r="K189" s="6">
        <v>0</v>
      </c>
      <c r="L189" s="6">
        <v>0.03</v>
      </c>
      <c r="M189" s="6">
        <v>-2.8500000000000001E-2</v>
      </c>
      <c r="N189" s="6">
        <v>0.03</v>
      </c>
      <c r="O189" s="6">
        <v>-2.8500000000000001E-2</v>
      </c>
      <c r="P189" s="6">
        <v>0</v>
      </c>
      <c r="Q189" s="4" t="s">
        <v>26</v>
      </c>
      <c r="R189" s="4">
        <v>0</v>
      </c>
      <c r="S189" s="4" t="s">
        <v>202</v>
      </c>
      <c r="T189" s="4" t="s">
        <v>391</v>
      </c>
      <c r="U189" s="4">
        <v>0</v>
      </c>
      <c r="V189" s="4">
        <v>34</v>
      </c>
      <c r="W189" s="4">
        <v>77</v>
      </c>
    </row>
    <row r="190" spans="1:23" ht="11.25" customHeight="1" x14ac:dyDescent="0.3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29</v>
      </c>
      <c r="F190" s="4" t="s">
        <v>25</v>
      </c>
      <c r="G190" s="4" t="s">
        <v>25</v>
      </c>
      <c r="H190" s="4" t="s">
        <v>25</v>
      </c>
      <c r="I190" s="5">
        <v>44713</v>
      </c>
      <c r="J190" s="6">
        <v>0</v>
      </c>
      <c r="K190" s="6">
        <v>0</v>
      </c>
      <c r="L190" s="6">
        <v>8.6999999999999993</v>
      </c>
      <c r="M190" s="6">
        <v>8.6999999999999993</v>
      </c>
      <c r="N190" s="6">
        <v>8.6999999999999993</v>
      </c>
      <c r="O190" s="6">
        <v>8.6999999999999993</v>
      </c>
      <c r="P190" s="6">
        <v>29</v>
      </c>
      <c r="Q190" s="4" t="s">
        <v>26</v>
      </c>
      <c r="R190" s="4">
        <v>0</v>
      </c>
      <c r="S190" s="4" t="s">
        <v>203</v>
      </c>
      <c r="T190" s="4" t="s">
        <v>392</v>
      </c>
      <c r="U190" s="4">
        <v>0</v>
      </c>
      <c r="V190" s="4">
        <v>34</v>
      </c>
      <c r="W190" s="4">
        <v>77</v>
      </c>
    </row>
    <row r="191" spans="1:23" ht="11.25" customHeight="1" x14ac:dyDescent="0.3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29</v>
      </c>
      <c r="F191" s="4" t="s">
        <v>25</v>
      </c>
      <c r="G191" s="4" t="s">
        <v>25</v>
      </c>
      <c r="H191" s="4" t="s">
        <v>25</v>
      </c>
      <c r="I191" s="5">
        <v>44743</v>
      </c>
      <c r="J191" s="6">
        <v>0</v>
      </c>
      <c r="K191" s="6">
        <v>0</v>
      </c>
      <c r="L191" s="6">
        <v>8.5500000000000007</v>
      </c>
      <c r="M191" s="6">
        <v>8.5500000000000007</v>
      </c>
      <c r="N191" s="6">
        <v>8.5500000000000007</v>
      </c>
      <c r="O191" s="6">
        <v>8.5500000000000007</v>
      </c>
      <c r="P191" s="6">
        <v>29</v>
      </c>
      <c r="Q191" s="4" t="s">
        <v>26</v>
      </c>
      <c r="R191" s="4">
        <v>0</v>
      </c>
      <c r="S191" s="4" t="s">
        <v>204</v>
      </c>
      <c r="T191" s="4" t="s">
        <v>393</v>
      </c>
      <c r="U191" s="4">
        <v>0</v>
      </c>
      <c r="V191" s="4">
        <v>34</v>
      </c>
      <c r="W191" s="4">
        <v>77</v>
      </c>
    </row>
    <row r="192" spans="1:23" ht="11.25" customHeight="1" x14ac:dyDescent="0.3">
      <c r="A192" s="4" t="s">
        <v>21</v>
      </c>
      <c r="B192" s="4" t="s">
        <v>22</v>
      </c>
      <c r="C192" s="4" t="s">
        <v>23</v>
      </c>
      <c r="D192" s="4" t="s">
        <v>24</v>
      </c>
      <c r="E192" s="4" t="s">
        <v>29</v>
      </c>
      <c r="F192" s="4" t="s">
        <v>25</v>
      </c>
      <c r="G192" s="4" t="s">
        <v>25</v>
      </c>
      <c r="H192" s="4" t="s">
        <v>25</v>
      </c>
      <c r="I192" s="5">
        <v>44774</v>
      </c>
      <c r="J192" s="6">
        <v>0</v>
      </c>
      <c r="K192" s="6">
        <v>0</v>
      </c>
      <c r="L192" s="6">
        <v>6.75</v>
      </c>
      <c r="M192" s="6">
        <v>6.75</v>
      </c>
      <c r="N192" s="6">
        <v>6.75</v>
      </c>
      <c r="O192" s="6">
        <v>6.75</v>
      </c>
      <c r="P192" s="6">
        <v>19</v>
      </c>
      <c r="Q192" s="4" t="s">
        <v>26</v>
      </c>
      <c r="R192" s="4">
        <v>0</v>
      </c>
      <c r="S192" s="4" t="s">
        <v>205</v>
      </c>
      <c r="T192" s="4" t="s">
        <v>394</v>
      </c>
      <c r="U192" s="4">
        <v>0</v>
      </c>
      <c r="V192" s="4">
        <v>34</v>
      </c>
      <c r="W192" s="4">
        <v>77</v>
      </c>
    </row>
    <row r="193" spans="1:23" ht="11.25" customHeight="1" x14ac:dyDescent="0.3">
      <c r="A193" s="4" t="s">
        <v>21</v>
      </c>
      <c r="B193" s="4" t="s">
        <v>22</v>
      </c>
      <c r="C193" s="4" t="s">
        <v>23</v>
      </c>
      <c r="D193" s="4" t="s">
        <v>24</v>
      </c>
      <c r="E193" s="4" t="s">
        <v>30</v>
      </c>
      <c r="F193" s="4" t="s">
        <v>25</v>
      </c>
      <c r="G193" s="4" t="s">
        <v>25</v>
      </c>
      <c r="H193" s="4" t="s">
        <v>25</v>
      </c>
      <c r="I193" s="5">
        <v>44440</v>
      </c>
      <c r="J193" s="6">
        <v>0</v>
      </c>
      <c r="K193" s="6">
        <v>0</v>
      </c>
      <c r="L193" s="6">
        <v>12.154999999999999</v>
      </c>
      <c r="M193" s="6">
        <v>12.154999999999999</v>
      </c>
      <c r="N193" s="6">
        <v>12.154999999999999</v>
      </c>
      <c r="O193" s="6">
        <v>12.154999999999999</v>
      </c>
      <c r="P193" s="6">
        <v>36</v>
      </c>
      <c r="Q193" s="4" t="s">
        <v>26</v>
      </c>
      <c r="R193" s="4">
        <v>0</v>
      </c>
      <c r="S193" s="4" t="s">
        <v>206</v>
      </c>
      <c r="T193" s="4" t="s">
        <v>395</v>
      </c>
      <c r="U193" s="4">
        <v>0</v>
      </c>
      <c r="V193" s="4">
        <v>36</v>
      </c>
      <c r="W193" s="4">
        <v>78</v>
      </c>
    </row>
    <row r="194" spans="1:23" ht="11.25" customHeight="1" x14ac:dyDescent="0.3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30</v>
      </c>
      <c r="F194" s="4" t="s">
        <v>25</v>
      </c>
      <c r="G194" s="4" t="s">
        <v>25</v>
      </c>
      <c r="H194" s="4" t="s">
        <v>25</v>
      </c>
      <c r="I194" s="5">
        <v>44470</v>
      </c>
      <c r="J194" s="6">
        <v>0</v>
      </c>
      <c r="K194" s="6">
        <v>0</v>
      </c>
      <c r="L194" s="6">
        <v>12.137</v>
      </c>
      <c r="M194" s="6">
        <v>12.137</v>
      </c>
      <c r="N194" s="6">
        <v>12.137</v>
      </c>
      <c r="O194" s="6">
        <v>12.137</v>
      </c>
      <c r="P194" s="6">
        <v>37</v>
      </c>
      <c r="Q194" s="4" t="s">
        <v>26</v>
      </c>
      <c r="R194" s="4">
        <v>0</v>
      </c>
      <c r="S194" s="4" t="s">
        <v>207</v>
      </c>
      <c r="T194" s="4" t="s">
        <v>396</v>
      </c>
      <c r="U194" s="4">
        <v>0</v>
      </c>
      <c r="V194" s="4">
        <v>36</v>
      </c>
      <c r="W194" s="4">
        <v>78</v>
      </c>
    </row>
    <row r="195" spans="1:23" ht="11.25" customHeight="1" x14ac:dyDescent="0.3">
      <c r="A195" s="4" t="s">
        <v>21</v>
      </c>
      <c r="B195" s="4" t="s">
        <v>22</v>
      </c>
      <c r="C195" s="4" t="s">
        <v>23</v>
      </c>
      <c r="D195" s="4" t="s">
        <v>24</v>
      </c>
      <c r="E195" s="4" t="s">
        <v>30</v>
      </c>
      <c r="F195" s="4" t="s">
        <v>25</v>
      </c>
      <c r="G195" s="4" t="s">
        <v>25</v>
      </c>
      <c r="H195" s="4" t="s">
        <v>25</v>
      </c>
      <c r="I195" s="5">
        <v>44501</v>
      </c>
      <c r="J195" s="6">
        <v>0</v>
      </c>
      <c r="K195" s="6">
        <v>0</v>
      </c>
      <c r="L195" s="6">
        <v>12.07</v>
      </c>
      <c r="M195" s="6">
        <v>12.07</v>
      </c>
      <c r="N195" s="6">
        <v>12.07</v>
      </c>
      <c r="O195" s="6">
        <v>12.07</v>
      </c>
      <c r="P195" s="6">
        <v>48</v>
      </c>
      <c r="Q195" s="4" t="s">
        <v>26</v>
      </c>
      <c r="R195" s="4">
        <v>0</v>
      </c>
      <c r="S195" s="4" t="s">
        <v>208</v>
      </c>
      <c r="T195" s="4" t="s">
        <v>397</v>
      </c>
      <c r="U195" s="4">
        <v>0</v>
      </c>
      <c r="V195" s="4">
        <v>36</v>
      </c>
      <c r="W195" s="4">
        <v>78</v>
      </c>
    </row>
    <row r="196" spans="1:23" ht="11.25" customHeight="1" x14ac:dyDescent="0.3">
      <c r="A196" s="4" t="s">
        <v>27</v>
      </c>
      <c r="B196" s="4" t="s">
        <v>22</v>
      </c>
      <c r="C196" s="4" t="s">
        <v>23</v>
      </c>
      <c r="D196" s="4" t="s">
        <v>24</v>
      </c>
      <c r="E196" s="4" t="s">
        <v>30</v>
      </c>
      <c r="F196" s="4" t="s">
        <v>25</v>
      </c>
      <c r="G196" s="4" t="s">
        <v>25</v>
      </c>
      <c r="H196" s="4" t="s">
        <v>25</v>
      </c>
      <c r="I196" s="5">
        <v>44501</v>
      </c>
      <c r="J196" s="6">
        <v>0</v>
      </c>
      <c r="K196" s="6">
        <v>0</v>
      </c>
      <c r="L196" s="6">
        <v>-5.1999999999999998E-2</v>
      </c>
      <c r="M196" s="6">
        <v>-5.1999999999999998E-2</v>
      </c>
      <c r="N196" s="6">
        <v>-5.1999999999999998E-2</v>
      </c>
      <c r="O196" s="6">
        <v>-5.1999999999999998E-2</v>
      </c>
      <c r="P196" s="6">
        <v>0</v>
      </c>
      <c r="Q196" s="4" t="s">
        <v>26</v>
      </c>
      <c r="R196" s="4">
        <v>0</v>
      </c>
      <c r="S196" s="4" t="s">
        <v>208</v>
      </c>
      <c r="T196" s="4" t="s">
        <v>397</v>
      </c>
      <c r="U196" s="4">
        <v>0</v>
      </c>
      <c r="V196" s="4">
        <v>36</v>
      </c>
      <c r="W196" s="4">
        <v>78</v>
      </c>
    </row>
    <row r="197" spans="1:23" ht="11.25" customHeight="1" x14ac:dyDescent="0.3">
      <c r="A197" s="4" t="s">
        <v>28</v>
      </c>
      <c r="B197" s="4" t="s">
        <v>22</v>
      </c>
      <c r="C197" s="4" t="s">
        <v>23</v>
      </c>
      <c r="D197" s="4" t="s">
        <v>24</v>
      </c>
      <c r="E197" s="4" t="s">
        <v>30</v>
      </c>
      <c r="F197" s="4" t="s">
        <v>25</v>
      </c>
      <c r="G197" s="4" t="s">
        <v>25</v>
      </c>
      <c r="H197" s="4" t="s">
        <v>25</v>
      </c>
      <c r="I197" s="5">
        <v>44501</v>
      </c>
      <c r="J197" s="6">
        <v>0</v>
      </c>
      <c r="K197" s="6">
        <v>0</v>
      </c>
      <c r="L197" s="6">
        <v>2.8000000000000001E-2</v>
      </c>
      <c r="M197" s="6">
        <v>1.6799999999999999E-2</v>
      </c>
      <c r="N197" s="6">
        <v>2.8000000000000001E-2</v>
      </c>
      <c r="O197" s="6">
        <v>1.6799999999999999E-2</v>
      </c>
      <c r="P197" s="6">
        <v>0</v>
      </c>
      <c r="Q197" s="4" t="s">
        <v>26</v>
      </c>
      <c r="R197" s="4">
        <v>0</v>
      </c>
      <c r="S197" s="4" t="s">
        <v>208</v>
      </c>
      <c r="T197" s="4" t="s">
        <v>397</v>
      </c>
      <c r="U197" s="4">
        <v>0</v>
      </c>
      <c r="V197" s="4">
        <v>36</v>
      </c>
      <c r="W197" s="4">
        <v>78</v>
      </c>
    </row>
    <row r="198" spans="1:23" ht="11.25" customHeight="1" x14ac:dyDescent="0.3">
      <c r="A198" s="4" t="s">
        <v>21</v>
      </c>
      <c r="B198" s="4" t="s">
        <v>22</v>
      </c>
      <c r="C198" s="4" t="s">
        <v>23</v>
      </c>
      <c r="D198" s="4" t="s">
        <v>24</v>
      </c>
      <c r="E198" s="4" t="s">
        <v>30</v>
      </c>
      <c r="F198" s="4" t="s">
        <v>25</v>
      </c>
      <c r="G198" s="4" t="s">
        <v>25</v>
      </c>
      <c r="H198" s="4" t="s">
        <v>25</v>
      </c>
      <c r="I198" s="5">
        <v>44531</v>
      </c>
      <c r="J198" s="6">
        <v>0</v>
      </c>
      <c r="K198" s="6">
        <v>0</v>
      </c>
      <c r="L198" s="6">
        <v>12.305999999999999</v>
      </c>
      <c r="M198" s="6">
        <v>12.305999999999999</v>
      </c>
      <c r="N198" s="6">
        <v>12.305999999999999</v>
      </c>
      <c r="O198" s="6">
        <v>12.305999999999999</v>
      </c>
      <c r="P198" s="6">
        <v>36</v>
      </c>
      <c r="Q198" s="4" t="s">
        <v>26</v>
      </c>
      <c r="R198" s="4">
        <v>0</v>
      </c>
      <c r="S198" s="4" t="s">
        <v>209</v>
      </c>
      <c r="T198" s="4" t="s">
        <v>398</v>
      </c>
      <c r="U198" s="4">
        <v>0</v>
      </c>
      <c r="V198" s="4">
        <v>36</v>
      </c>
      <c r="W198" s="4">
        <v>78</v>
      </c>
    </row>
    <row r="199" spans="1:23" ht="11.25" customHeight="1" x14ac:dyDescent="0.3">
      <c r="A199" s="4" t="s">
        <v>21</v>
      </c>
      <c r="B199" s="4" t="s">
        <v>22</v>
      </c>
      <c r="C199" s="4" t="s">
        <v>23</v>
      </c>
      <c r="D199" s="4" t="s">
        <v>24</v>
      </c>
      <c r="E199" s="4" t="s">
        <v>30</v>
      </c>
      <c r="F199" s="4" t="s">
        <v>25</v>
      </c>
      <c r="G199" s="4" t="s">
        <v>25</v>
      </c>
      <c r="H199" s="4" t="s">
        <v>25</v>
      </c>
      <c r="I199" s="5">
        <v>44562</v>
      </c>
      <c r="J199" s="6">
        <v>0</v>
      </c>
      <c r="K199" s="6">
        <v>0</v>
      </c>
      <c r="L199" s="6">
        <v>12.425000000000001</v>
      </c>
      <c r="M199" s="6">
        <v>12.425000000000001</v>
      </c>
      <c r="N199" s="6">
        <v>12.425000000000001</v>
      </c>
      <c r="O199" s="6">
        <v>12.425000000000001</v>
      </c>
      <c r="P199" s="6">
        <v>30</v>
      </c>
      <c r="Q199" s="4" t="s">
        <v>26</v>
      </c>
      <c r="R199" s="4">
        <v>0</v>
      </c>
      <c r="S199" s="4" t="s">
        <v>210</v>
      </c>
      <c r="T199" s="4" t="s">
        <v>399</v>
      </c>
      <c r="U199" s="4">
        <v>0</v>
      </c>
      <c r="V199" s="4">
        <v>36</v>
      </c>
      <c r="W199" s="4">
        <v>78</v>
      </c>
    </row>
    <row r="200" spans="1:23" ht="11.25" customHeight="1" x14ac:dyDescent="0.3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30</v>
      </c>
      <c r="F200" s="4" t="s">
        <v>25</v>
      </c>
      <c r="G200" s="4" t="s">
        <v>25</v>
      </c>
      <c r="H200" s="4" t="s">
        <v>25</v>
      </c>
      <c r="I200" s="5">
        <v>44593</v>
      </c>
      <c r="J200" s="6">
        <v>0</v>
      </c>
      <c r="K200" s="6">
        <v>0</v>
      </c>
      <c r="L200" s="6">
        <v>12.778</v>
      </c>
      <c r="M200" s="6">
        <v>12.778</v>
      </c>
      <c r="N200" s="6">
        <v>12.778</v>
      </c>
      <c r="O200" s="6">
        <v>12.778</v>
      </c>
      <c r="P200" s="6">
        <v>23</v>
      </c>
      <c r="Q200" s="4" t="s">
        <v>26</v>
      </c>
      <c r="R200" s="4">
        <v>0</v>
      </c>
      <c r="S200" s="4" t="s">
        <v>211</v>
      </c>
      <c r="T200" s="4" t="s">
        <v>400</v>
      </c>
      <c r="U200" s="4">
        <v>0</v>
      </c>
      <c r="V200" s="4">
        <v>36</v>
      </c>
      <c r="W200" s="4">
        <v>78</v>
      </c>
    </row>
    <row r="201" spans="1:23" ht="11.25" customHeight="1" x14ac:dyDescent="0.3">
      <c r="A201" s="4" t="s">
        <v>21</v>
      </c>
      <c r="B201" s="4" t="s">
        <v>22</v>
      </c>
      <c r="C201" s="4" t="s">
        <v>23</v>
      </c>
      <c r="D201" s="4" t="s">
        <v>24</v>
      </c>
      <c r="E201" s="4" t="s">
        <v>30</v>
      </c>
      <c r="F201" s="4" t="s">
        <v>25</v>
      </c>
      <c r="G201" s="4" t="s">
        <v>25</v>
      </c>
      <c r="H201" s="4" t="s">
        <v>25</v>
      </c>
      <c r="I201" s="5">
        <v>44621</v>
      </c>
      <c r="J201" s="6">
        <v>0</v>
      </c>
      <c r="K201" s="6">
        <v>0</v>
      </c>
      <c r="L201" s="6">
        <v>13.773</v>
      </c>
      <c r="M201" s="6">
        <v>13.773</v>
      </c>
      <c r="N201" s="6">
        <v>13.773</v>
      </c>
      <c r="O201" s="6">
        <v>13.773</v>
      </c>
      <c r="P201" s="6">
        <v>23</v>
      </c>
      <c r="Q201" s="4" t="s">
        <v>26</v>
      </c>
      <c r="R201" s="4">
        <v>0</v>
      </c>
      <c r="S201" s="4" t="s">
        <v>212</v>
      </c>
      <c r="T201" s="4" t="s">
        <v>401</v>
      </c>
      <c r="U201" s="4">
        <v>0</v>
      </c>
      <c r="V201" s="4">
        <v>36</v>
      </c>
      <c r="W201" s="4">
        <v>78</v>
      </c>
    </row>
    <row r="202" spans="1:23" ht="11.25" customHeight="1" x14ac:dyDescent="0.3">
      <c r="A202" s="4" t="s">
        <v>21</v>
      </c>
      <c r="B202" s="4" t="s">
        <v>22</v>
      </c>
      <c r="C202" s="4" t="s">
        <v>23</v>
      </c>
      <c r="D202" s="4" t="s">
        <v>24</v>
      </c>
      <c r="E202" s="4" t="s">
        <v>30</v>
      </c>
      <c r="F202" s="4" t="s">
        <v>25</v>
      </c>
      <c r="G202" s="4" t="s">
        <v>25</v>
      </c>
      <c r="H202" s="4" t="s">
        <v>25</v>
      </c>
      <c r="I202" s="5">
        <v>44652</v>
      </c>
      <c r="J202" s="6">
        <v>0</v>
      </c>
      <c r="K202" s="6">
        <v>0</v>
      </c>
      <c r="L202" s="6">
        <v>22.285</v>
      </c>
      <c r="M202" s="6">
        <v>22.285</v>
      </c>
      <c r="N202" s="6">
        <v>22.285</v>
      </c>
      <c r="O202" s="6">
        <v>22.285</v>
      </c>
      <c r="P202" s="6">
        <v>45</v>
      </c>
      <c r="Q202" s="4" t="s">
        <v>26</v>
      </c>
      <c r="R202" s="4">
        <v>0</v>
      </c>
      <c r="S202" s="4" t="s">
        <v>213</v>
      </c>
      <c r="T202" s="4" t="s">
        <v>402</v>
      </c>
      <c r="U202" s="4">
        <v>0</v>
      </c>
      <c r="V202" s="4">
        <v>36</v>
      </c>
      <c r="W202" s="4">
        <v>78</v>
      </c>
    </row>
    <row r="203" spans="1:23" ht="11.25" customHeight="1" x14ac:dyDescent="0.3">
      <c r="A203" s="4" t="s">
        <v>27</v>
      </c>
      <c r="B203" s="4" t="s">
        <v>22</v>
      </c>
      <c r="C203" s="4" t="s">
        <v>23</v>
      </c>
      <c r="D203" s="4" t="s">
        <v>24</v>
      </c>
      <c r="E203" s="4" t="s">
        <v>30</v>
      </c>
      <c r="F203" s="4" t="s">
        <v>25</v>
      </c>
      <c r="G203" s="4" t="s">
        <v>25</v>
      </c>
      <c r="H203" s="4" t="s">
        <v>25</v>
      </c>
      <c r="I203" s="5">
        <v>44652</v>
      </c>
      <c r="J203" s="6">
        <v>0</v>
      </c>
      <c r="K203" s="6">
        <v>0</v>
      </c>
      <c r="L203" s="6">
        <v>-7.0000000000000007E-2</v>
      </c>
      <c r="M203" s="6">
        <v>-7.0000000000000007E-2</v>
      </c>
      <c r="N203" s="6">
        <v>-7.0000000000000007E-2</v>
      </c>
      <c r="O203" s="6">
        <v>-7.0000000000000007E-2</v>
      </c>
      <c r="P203" s="6">
        <v>0</v>
      </c>
      <c r="Q203" s="4" t="s">
        <v>26</v>
      </c>
      <c r="R203" s="4">
        <v>0</v>
      </c>
      <c r="S203" s="4" t="s">
        <v>213</v>
      </c>
      <c r="T203" s="4" t="s">
        <v>402</v>
      </c>
      <c r="U203" s="4">
        <v>0</v>
      </c>
      <c r="V203" s="4">
        <v>36</v>
      </c>
      <c r="W203" s="4">
        <v>78</v>
      </c>
    </row>
    <row r="204" spans="1:23" ht="11.25" customHeight="1" x14ac:dyDescent="0.3">
      <c r="A204" s="4" t="s">
        <v>21</v>
      </c>
      <c r="B204" s="4" t="s">
        <v>22</v>
      </c>
      <c r="C204" s="4" t="s">
        <v>23</v>
      </c>
      <c r="D204" s="4" t="s">
        <v>24</v>
      </c>
      <c r="E204" s="4" t="s">
        <v>30</v>
      </c>
      <c r="F204" s="4" t="s">
        <v>25</v>
      </c>
      <c r="G204" s="4" t="s">
        <v>25</v>
      </c>
      <c r="H204" s="4" t="s">
        <v>25</v>
      </c>
      <c r="I204" s="5">
        <v>44682</v>
      </c>
      <c r="J204" s="6">
        <v>0</v>
      </c>
      <c r="K204" s="6">
        <v>0</v>
      </c>
      <c r="L204" s="6">
        <v>16.582000000000001</v>
      </c>
      <c r="M204" s="6">
        <v>16.582000000000001</v>
      </c>
      <c r="N204" s="6">
        <v>16.582000000000001</v>
      </c>
      <c r="O204" s="6">
        <v>16.582000000000001</v>
      </c>
      <c r="P204" s="6">
        <v>51</v>
      </c>
      <c r="Q204" s="4" t="s">
        <v>26</v>
      </c>
      <c r="R204" s="4">
        <v>0</v>
      </c>
      <c r="S204" s="4" t="s">
        <v>214</v>
      </c>
      <c r="T204" s="4" t="s">
        <v>403</v>
      </c>
      <c r="U204" s="4">
        <v>0</v>
      </c>
      <c r="V204" s="4">
        <v>36</v>
      </c>
      <c r="W204" s="4">
        <v>78</v>
      </c>
    </row>
    <row r="205" spans="1:23" ht="11.25" customHeight="1" x14ac:dyDescent="0.3">
      <c r="A205" s="4" t="s">
        <v>28</v>
      </c>
      <c r="B205" s="4" t="s">
        <v>22</v>
      </c>
      <c r="C205" s="4" t="s">
        <v>23</v>
      </c>
      <c r="D205" s="4" t="s">
        <v>24</v>
      </c>
      <c r="E205" s="4" t="s">
        <v>30</v>
      </c>
      <c r="F205" s="4" t="s">
        <v>25</v>
      </c>
      <c r="G205" s="4" t="s">
        <v>25</v>
      </c>
      <c r="H205" s="4" t="s">
        <v>25</v>
      </c>
      <c r="I205" s="5">
        <v>44682</v>
      </c>
      <c r="J205" s="6">
        <v>0</v>
      </c>
      <c r="K205" s="6">
        <v>0</v>
      </c>
      <c r="L205" s="6">
        <v>7.0000000000000007E-2</v>
      </c>
      <c r="M205" s="6">
        <v>-1.4E-2</v>
      </c>
      <c r="N205" s="6">
        <v>7.0000000000000007E-2</v>
      </c>
      <c r="O205" s="6">
        <v>-1.4E-2</v>
      </c>
      <c r="P205" s="6">
        <v>0</v>
      </c>
      <c r="Q205" s="4" t="s">
        <v>26</v>
      </c>
      <c r="R205" s="4">
        <v>0</v>
      </c>
      <c r="S205" s="4" t="s">
        <v>214</v>
      </c>
      <c r="T205" s="4" t="s">
        <v>403</v>
      </c>
      <c r="U205" s="4">
        <v>0</v>
      </c>
      <c r="V205" s="4">
        <v>36</v>
      </c>
      <c r="W205" s="4">
        <v>78</v>
      </c>
    </row>
    <row r="206" spans="1:23" ht="11.25" customHeight="1" x14ac:dyDescent="0.3">
      <c r="A206" s="4" t="s">
        <v>21</v>
      </c>
      <c r="B206" s="4" t="s">
        <v>22</v>
      </c>
      <c r="C206" s="4" t="s">
        <v>23</v>
      </c>
      <c r="D206" s="4" t="s">
        <v>24</v>
      </c>
      <c r="E206" s="4" t="s">
        <v>30</v>
      </c>
      <c r="F206" s="4" t="s">
        <v>25</v>
      </c>
      <c r="G206" s="4" t="s">
        <v>25</v>
      </c>
      <c r="H206" s="4" t="s">
        <v>25</v>
      </c>
      <c r="I206" s="5">
        <v>44713</v>
      </c>
      <c r="J206" s="6">
        <v>0</v>
      </c>
      <c r="K206" s="6">
        <v>0</v>
      </c>
      <c r="L206" s="6">
        <v>16.468</v>
      </c>
      <c r="M206" s="6">
        <v>16.468</v>
      </c>
      <c r="N206" s="6">
        <v>16.468</v>
      </c>
      <c r="O206" s="6">
        <v>16.468</v>
      </c>
      <c r="P206" s="6">
        <v>55</v>
      </c>
      <c r="Q206" s="4" t="s">
        <v>26</v>
      </c>
      <c r="R206" s="4">
        <v>0</v>
      </c>
      <c r="S206" s="4" t="s">
        <v>215</v>
      </c>
      <c r="T206" s="4" t="s">
        <v>404</v>
      </c>
      <c r="U206" s="4">
        <v>0</v>
      </c>
      <c r="V206" s="4">
        <v>36</v>
      </c>
      <c r="W206" s="4">
        <v>78</v>
      </c>
    </row>
    <row r="207" spans="1:23" ht="11.25" customHeight="1" x14ac:dyDescent="0.3">
      <c r="A207" s="4" t="s">
        <v>21</v>
      </c>
      <c r="B207" s="4" t="s">
        <v>22</v>
      </c>
      <c r="C207" s="4" t="s">
        <v>23</v>
      </c>
      <c r="D207" s="4" t="s">
        <v>24</v>
      </c>
      <c r="E207" s="4" t="s">
        <v>30</v>
      </c>
      <c r="F207" s="4" t="s">
        <v>25</v>
      </c>
      <c r="G207" s="4" t="s">
        <v>25</v>
      </c>
      <c r="H207" s="4" t="s">
        <v>25</v>
      </c>
      <c r="I207" s="5">
        <v>44743</v>
      </c>
      <c r="J207" s="6">
        <v>0</v>
      </c>
      <c r="K207" s="6">
        <v>0</v>
      </c>
      <c r="L207" s="6">
        <v>15.904</v>
      </c>
      <c r="M207" s="6">
        <v>15.904</v>
      </c>
      <c r="N207" s="6">
        <v>15.904</v>
      </c>
      <c r="O207" s="6">
        <v>15.904</v>
      </c>
      <c r="P207" s="6">
        <v>66</v>
      </c>
      <c r="Q207" s="4" t="s">
        <v>26</v>
      </c>
      <c r="R207" s="4">
        <v>0</v>
      </c>
      <c r="S207" s="4" t="s">
        <v>216</v>
      </c>
      <c r="T207" s="4" t="s">
        <v>405</v>
      </c>
      <c r="U207" s="4">
        <v>0</v>
      </c>
      <c r="V207" s="4">
        <v>36</v>
      </c>
      <c r="W207" s="4">
        <v>78</v>
      </c>
    </row>
    <row r="208" spans="1:23" ht="11.25" customHeight="1" x14ac:dyDescent="0.3">
      <c r="A208" s="4" t="s">
        <v>21</v>
      </c>
      <c r="B208" s="4" t="s">
        <v>22</v>
      </c>
      <c r="C208" s="4" t="s">
        <v>23</v>
      </c>
      <c r="D208" s="4" t="s">
        <v>24</v>
      </c>
      <c r="E208" s="4" t="s">
        <v>30</v>
      </c>
      <c r="F208" s="4" t="s">
        <v>25</v>
      </c>
      <c r="G208" s="4" t="s">
        <v>25</v>
      </c>
      <c r="H208" s="4" t="s">
        <v>25</v>
      </c>
      <c r="I208" s="5">
        <v>44774</v>
      </c>
      <c r="J208" s="6">
        <v>0</v>
      </c>
      <c r="K208" s="6">
        <v>0</v>
      </c>
      <c r="L208" s="6">
        <v>13.456</v>
      </c>
      <c r="M208" s="6">
        <v>13.456</v>
      </c>
      <c r="N208" s="6">
        <v>13.456</v>
      </c>
      <c r="O208" s="6">
        <v>13.456</v>
      </c>
      <c r="P208" s="6">
        <v>33</v>
      </c>
      <c r="Q208" s="4" t="s">
        <v>26</v>
      </c>
      <c r="R208" s="4">
        <v>0</v>
      </c>
      <c r="S208" s="4" t="s">
        <v>217</v>
      </c>
      <c r="T208" s="4" t="s">
        <v>406</v>
      </c>
      <c r="U208" s="4">
        <v>0</v>
      </c>
      <c r="V208" s="4">
        <v>36</v>
      </c>
      <c r="W208" s="4">
        <v>78</v>
      </c>
    </row>
    <row r="209" spans="1:23" ht="11.25" customHeight="1" x14ac:dyDescent="0.3">
      <c r="A209" s="4" t="s">
        <v>21</v>
      </c>
      <c r="B209" s="4" t="s">
        <v>22</v>
      </c>
      <c r="C209" s="4" t="s">
        <v>23</v>
      </c>
      <c r="D209" s="4" t="s">
        <v>24</v>
      </c>
      <c r="E209" s="4" t="s">
        <v>31</v>
      </c>
      <c r="F209" s="4" t="s">
        <v>25</v>
      </c>
      <c r="G209" s="4" t="s">
        <v>25</v>
      </c>
      <c r="H209" s="4" t="s">
        <v>25</v>
      </c>
      <c r="I209" s="5">
        <v>44440</v>
      </c>
      <c r="J209" s="6">
        <v>0</v>
      </c>
      <c r="K209" s="6">
        <v>0</v>
      </c>
      <c r="L209" s="6">
        <v>11.212</v>
      </c>
      <c r="M209" s="6">
        <v>11.212</v>
      </c>
      <c r="N209" s="6">
        <v>11.212</v>
      </c>
      <c r="O209" s="6">
        <v>11.212</v>
      </c>
      <c r="P209" s="6">
        <v>114</v>
      </c>
      <c r="Q209" s="4" t="s">
        <v>26</v>
      </c>
      <c r="R209" s="4">
        <v>0</v>
      </c>
      <c r="S209" s="4" t="s">
        <v>218</v>
      </c>
      <c r="T209" s="4" t="s">
        <v>407</v>
      </c>
      <c r="U209" s="4">
        <v>0</v>
      </c>
      <c r="V209" s="4">
        <v>38</v>
      </c>
      <c r="W209" s="4">
        <v>79</v>
      </c>
    </row>
    <row r="210" spans="1:23" ht="11.25" customHeight="1" x14ac:dyDescent="0.3">
      <c r="A210" s="4" t="s">
        <v>21</v>
      </c>
      <c r="B210" s="4" t="s">
        <v>22</v>
      </c>
      <c r="C210" s="4" t="s">
        <v>23</v>
      </c>
      <c r="D210" s="4" t="s">
        <v>24</v>
      </c>
      <c r="E210" s="4" t="s">
        <v>31</v>
      </c>
      <c r="F210" s="4" t="s">
        <v>25</v>
      </c>
      <c r="G210" s="4" t="s">
        <v>25</v>
      </c>
      <c r="H210" s="4" t="s">
        <v>25</v>
      </c>
      <c r="I210" s="5">
        <v>44470</v>
      </c>
      <c r="J210" s="6">
        <v>0</v>
      </c>
      <c r="K210" s="6">
        <v>0</v>
      </c>
      <c r="L210" s="6">
        <v>11.162000000000001</v>
      </c>
      <c r="M210" s="6">
        <v>11.162000000000001</v>
      </c>
      <c r="N210" s="6">
        <v>11.162000000000001</v>
      </c>
      <c r="O210" s="6">
        <v>11.162000000000001</v>
      </c>
      <c r="P210" s="6">
        <v>109</v>
      </c>
      <c r="Q210" s="4" t="s">
        <v>26</v>
      </c>
      <c r="R210" s="4">
        <v>0</v>
      </c>
      <c r="S210" s="4" t="s">
        <v>219</v>
      </c>
      <c r="T210" s="4" t="s">
        <v>408</v>
      </c>
      <c r="U210" s="4">
        <v>0</v>
      </c>
      <c r="V210" s="4">
        <v>38</v>
      </c>
      <c r="W210" s="4">
        <v>79</v>
      </c>
    </row>
    <row r="211" spans="1:23" ht="11.25" customHeight="1" x14ac:dyDescent="0.3">
      <c r="A211" s="4" t="s">
        <v>21</v>
      </c>
      <c r="B211" s="4" t="s">
        <v>22</v>
      </c>
      <c r="C211" s="4" t="s">
        <v>23</v>
      </c>
      <c r="D211" s="4" t="s">
        <v>24</v>
      </c>
      <c r="E211" s="4" t="s">
        <v>31</v>
      </c>
      <c r="F211" s="4" t="s">
        <v>25</v>
      </c>
      <c r="G211" s="4" t="s">
        <v>25</v>
      </c>
      <c r="H211" s="4" t="s">
        <v>25</v>
      </c>
      <c r="I211" s="5">
        <v>44501</v>
      </c>
      <c r="J211" s="6">
        <v>0</v>
      </c>
      <c r="K211" s="6">
        <v>0</v>
      </c>
      <c r="L211" s="6">
        <v>10.247999999999999</v>
      </c>
      <c r="M211" s="6">
        <v>10.247999999999999</v>
      </c>
      <c r="N211" s="6">
        <v>10.247999999999999</v>
      </c>
      <c r="O211" s="6">
        <v>10.247999999999999</v>
      </c>
      <c r="P211" s="6">
        <v>106</v>
      </c>
      <c r="Q211" s="4" t="s">
        <v>26</v>
      </c>
      <c r="R211" s="4">
        <v>0</v>
      </c>
      <c r="S211" s="4" t="s">
        <v>220</v>
      </c>
      <c r="T211" s="4" t="s">
        <v>409</v>
      </c>
      <c r="U211" s="4">
        <v>0</v>
      </c>
      <c r="V211" s="4">
        <v>38</v>
      </c>
      <c r="W211" s="4">
        <v>79</v>
      </c>
    </row>
    <row r="212" spans="1:23" ht="11.25" customHeight="1" x14ac:dyDescent="0.3">
      <c r="A212" s="4" t="s">
        <v>27</v>
      </c>
      <c r="B212" s="4" t="s">
        <v>22</v>
      </c>
      <c r="C212" s="4" t="s">
        <v>23</v>
      </c>
      <c r="D212" s="4" t="s">
        <v>24</v>
      </c>
      <c r="E212" s="4" t="s">
        <v>31</v>
      </c>
      <c r="F212" s="4" t="s">
        <v>25</v>
      </c>
      <c r="G212" s="4" t="s">
        <v>25</v>
      </c>
      <c r="H212" s="4" t="s">
        <v>25</v>
      </c>
      <c r="I212" s="5">
        <v>44501</v>
      </c>
      <c r="J212" s="6">
        <v>0</v>
      </c>
      <c r="K212" s="6">
        <v>0</v>
      </c>
      <c r="L212" s="6">
        <v>4.7E-2</v>
      </c>
      <c r="M212" s="6">
        <v>4.7E-2</v>
      </c>
      <c r="N212" s="6">
        <v>4.7E-2</v>
      </c>
      <c r="O212" s="6">
        <v>4.7E-2</v>
      </c>
      <c r="P212" s="6">
        <v>0</v>
      </c>
      <c r="Q212" s="4" t="s">
        <v>26</v>
      </c>
      <c r="R212" s="4">
        <v>0</v>
      </c>
      <c r="S212" s="4" t="s">
        <v>220</v>
      </c>
      <c r="T212" s="4" t="s">
        <v>409</v>
      </c>
      <c r="U212" s="4">
        <v>0</v>
      </c>
      <c r="V212" s="4">
        <v>38</v>
      </c>
      <c r="W212" s="4">
        <v>79</v>
      </c>
    </row>
    <row r="213" spans="1:23" ht="11.25" customHeight="1" x14ac:dyDescent="0.3">
      <c r="A213" s="4" t="s">
        <v>21</v>
      </c>
      <c r="B213" s="4" t="s">
        <v>22</v>
      </c>
      <c r="C213" s="4" t="s">
        <v>23</v>
      </c>
      <c r="D213" s="4" t="s">
        <v>24</v>
      </c>
      <c r="E213" s="4" t="s">
        <v>31</v>
      </c>
      <c r="F213" s="4" t="s">
        <v>25</v>
      </c>
      <c r="G213" s="4" t="s">
        <v>25</v>
      </c>
      <c r="H213" s="4" t="s">
        <v>25</v>
      </c>
      <c r="I213" s="5">
        <v>44531</v>
      </c>
      <c r="J213" s="6">
        <v>0</v>
      </c>
      <c r="K213" s="6">
        <v>0</v>
      </c>
      <c r="L213" s="6">
        <v>11.436999999999999</v>
      </c>
      <c r="M213" s="6">
        <v>11.436999999999999</v>
      </c>
      <c r="N213" s="6">
        <v>11.436999999999999</v>
      </c>
      <c r="O213" s="6">
        <v>11.436999999999999</v>
      </c>
      <c r="P213" s="6">
        <v>111</v>
      </c>
      <c r="Q213" s="4" t="s">
        <v>26</v>
      </c>
      <c r="R213" s="4">
        <v>0</v>
      </c>
      <c r="S213" s="4" t="s">
        <v>221</v>
      </c>
      <c r="T213" s="4" t="s">
        <v>410</v>
      </c>
      <c r="U213" s="4">
        <v>0</v>
      </c>
      <c r="V213" s="4">
        <v>38</v>
      </c>
      <c r="W213" s="4">
        <v>79</v>
      </c>
    </row>
    <row r="214" spans="1:23" ht="11.25" customHeight="1" x14ac:dyDescent="0.3">
      <c r="A214" s="4" t="s">
        <v>21</v>
      </c>
      <c r="B214" s="4" t="s">
        <v>22</v>
      </c>
      <c r="C214" s="4" t="s">
        <v>23</v>
      </c>
      <c r="D214" s="4" t="s">
        <v>24</v>
      </c>
      <c r="E214" s="4" t="s">
        <v>31</v>
      </c>
      <c r="F214" s="4" t="s">
        <v>25</v>
      </c>
      <c r="G214" s="4" t="s">
        <v>25</v>
      </c>
      <c r="H214" s="4" t="s">
        <v>25</v>
      </c>
      <c r="I214" s="5">
        <v>44562</v>
      </c>
      <c r="J214" s="6">
        <v>0</v>
      </c>
      <c r="K214" s="6">
        <v>0</v>
      </c>
      <c r="L214" s="6">
        <v>13.813000000000001</v>
      </c>
      <c r="M214" s="6">
        <v>13.813000000000001</v>
      </c>
      <c r="N214" s="6">
        <v>13.813000000000001</v>
      </c>
      <c r="O214" s="6">
        <v>13.813000000000001</v>
      </c>
      <c r="P214" s="6">
        <v>92</v>
      </c>
      <c r="Q214" s="4" t="s">
        <v>26</v>
      </c>
      <c r="R214" s="4">
        <v>0</v>
      </c>
      <c r="S214" s="4" t="s">
        <v>222</v>
      </c>
      <c r="T214" s="4" t="s">
        <v>411</v>
      </c>
      <c r="U214" s="4">
        <v>0</v>
      </c>
      <c r="V214" s="4">
        <v>38</v>
      </c>
      <c r="W214" s="4">
        <v>79</v>
      </c>
    </row>
    <row r="215" spans="1:23" ht="11.25" customHeight="1" x14ac:dyDescent="0.3">
      <c r="A215" s="4" t="s">
        <v>21</v>
      </c>
      <c r="B215" s="4" t="s">
        <v>22</v>
      </c>
      <c r="C215" s="4" t="s">
        <v>23</v>
      </c>
      <c r="D215" s="4" t="s">
        <v>24</v>
      </c>
      <c r="E215" s="4" t="s">
        <v>31</v>
      </c>
      <c r="F215" s="4" t="s">
        <v>25</v>
      </c>
      <c r="G215" s="4" t="s">
        <v>25</v>
      </c>
      <c r="H215" s="4" t="s">
        <v>25</v>
      </c>
      <c r="I215" s="5">
        <v>44593</v>
      </c>
      <c r="J215" s="6">
        <v>0</v>
      </c>
      <c r="K215" s="6">
        <v>0</v>
      </c>
      <c r="L215" s="6">
        <v>14.574</v>
      </c>
      <c r="M215" s="6">
        <v>14.574</v>
      </c>
      <c r="N215" s="6">
        <v>14.574</v>
      </c>
      <c r="O215" s="6">
        <v>14.574</v>
      </c>
      <c r="P215" s="6">
        <v>84</v>
      </c>
      <c r="Q215" s="4" t="s">
        <v>26</v>
      </c>
      <c r="R215" s="4">
        <v>0</v>
      </c>
      <c r="S215" s="4" t="s">
        <v>223</v>
      </c>
      <c r="T215" s="4" t="s">
        <v>412</v>
      </c>
      <c r="U215" s="4">
        <v>0</v>
      </c>
      <c r="V215" s="4">
        <v>38</v>
      </c>
      <c r="W215" s="4">
        <v>79</v>
      </c>
    </row>
    <row r="216" spans="1:23" ht="11.25" customHeight="1" x14ac:dyDescent="0.3">
      <c r="A216" s="4" t="s">
        <v>21</v>
      </c>
      <c r="B216" s="4" t="s">
        <v>22</v>
      </c>
      <c r="C216" s="4" t="s">
        <v>23</v>
      </c>
      <c r="D216" s="4" t="s">
        <v>24</v>
      </c>
      <c r="E216" s="4" t="s">
        <v>31</v>
      </c>
      <c r="F216" s="4" t="s">
        <v>25</v>
      </c>
      <c r="G216" s="4" t="s">
        <v>25</v>
      </c>
      <c r="H216" s="4" t="s">
        <v>25</v>
      </c>
      <c r="I216" s="5">
        <v>44621</v>
      </c>
      <c r="J216" s="6">
        <v>0</v>
      </c>
      <c r="K216" s="6">
        <v>0</v>
      </c>
      <c r="L216" s="6">
        <v>15.63</v>
      </c>
      <c r="M216" s="6">
        <v>15.63</v>
      </c>
      <c r="N216" s="6">
        <v>15.63</v>
      </c>
      <c r="O216" s="6">
        <v>15.63</v>
      </c>
      <c r="P216" s="6">
        <v>99</v>
      </c>
      <c r="Q216" s="4" t="s">
        <v>26</v>
      </c>
      <c r="R216" s="4">
        <v>0</v>
      </c>
      <c r="S216" s="4" t="s">
        <v>224</v>
      </c>
      <c r="T216" s="4" t="s">
        <v>413</v>
      </c>
      <c r="U216" s="4">
        <v>0</v>
      </c>
      <c r="V216" s="4">
        <v>38</v>
      </c>
      <c r="W216" s="4">
        <v>79</v>
      </c>
    </row>
    <row r="217" spans="1:23" ht="11.25" customHeight="1" x14ac:dyDescent="0.3">
      <c r="A217" s="4" t="s">
        <v>21</v>
      </c>
      <c r="B217" s="4" t="s">
        <v>22</v>
      </c>
      <c r="C217" s="4" t="s">
        <v>23</v>
      </c>
      <c r="D217" s="4" t="s">
        <v>24</v>
      </c>
      <c r="E217" s="4" t="s">
        <v>31</v>
      </c>
      <c r="F217" s="4" t="s">
        <v>25</v>
      </c>
      <c r="G217" s="4" t="s">
        <v>25</v>
      </c>
      <c r="H217" s="4" t="s">
        <v>25</v>
      </c>
      <c r="I217" s="5">
        <v>44652</v>
      </c>
      <c r="J217" s="6">
        <v>0</v>
      </c>
      <c r="K217" s="6">
        <v>0</v>
      </c>
      <c r="L217" s="6">
        <v>25.216000000000001</v>
      </c>
      <c r="M217" s="6">
        <v>25.216000000000001</v>
      </c>
      <c r="N217" s="6">
        <v>25.216000000000001</v>
      </c>
      <c r="O217" s="6">
        <v>25.216000000000001</v>
      </c>
      <c r="P217" s="6">
        <v>172</v>
      </c>
      <c r="Q217" s="4" t="s">
        <v>26</v>
      </c>
      <c r="R217" s="4">
        <v>0</v>
      </c>
      <c r="S217" s="4" t="s">
        <v>225</v>
      </c>
      <c r="T217" s="4" t="s">
        <v>414</v>
      </c>
      <c r="U217" s="4">
        <v>0</v>
      </c>
      <c r="V217" s="4">
        <v>38</v>
      </c>
      <c r="W217" s="4">
        <v>79</v>
      </c>
    </row>
    <row r="218" spans="1:23" ht="11.25" customHeight="1" x14ac:dyDescent="0.3">
      <c r="A218" s="4" t="s">
        <v>27</v>
      </c>
      <c r="B218" s="4" t="s">
        <v>22</v>
      </c>
      <c r="C218" s="4" t="s">
        <v>23</v>
      </c>
      <c r="D218" s="4" t="s">
        <v>24</v>
      </c>
      <c r="E218" s="4" t="s">
        <v>31</v>
      </c>
      <c r="F218" s="4" t="s">
        <v>25</v>
      </c>
      <c r="G218" s="4" t="s">
        <v>25</v>
      </c>
      <c r="H218" s="4" t="s">
        <v>25</v>
      </c>
      <c r="I218" s="5">
        <v>44652</v>
      </c>
      <c r="J218" s="6">
        <v>0</v>
      </c>
      <c r="K218" s="6">
        <v>0</v>
      </c>
      <c r="L218" s="6">
        <v>-0.05</v>
      </c>
      <c r="M218" s="6">
        <v>-0.05</v>
      </c>
      <c r="N218" s="6">
        <v>-0.05</v>
      </c>
      <c r="O218" s="6">
        <v>-0.05</v>
      </c>
      <c r="P218" s="6">
        <v>0</v>
      </c>
      <c r="Q218" s="4" t="s">
        <v>26</v>
      </c>
      <c r="R218" s="4">
        <v>0</v>
      </c>
      <c r="S218" s="4" t="s">
        <v>225</v>
      </c>
      <c r="T218" s="4" t="s">
        <v>414</v>
      </c>
      <c r="U218" s="4">
        <v>0</v>
      </c>
      <c r="V218" s="4">
        <v>38</v>
      </c>
      <c r="W218" s="4">
        <v>79</v>
      </c>
    </row>
    <row r="219" spans="1:23" ht="11.25" customHeight="1" x14ac:dyDescent="0.3">
      <c r="A219" s="4" t="s">
        <v>21</v>
      </c>
      <c r="B219" s="4" t="s">
        <v>22</v>
      </c>
      <c r="C219" s="4" t="s">
        <v>23</v>
      </c>
      <c r="D219" s="4" t="s">
        <v>24</v>
      </c>
      <c r="E219" s="4" t="s">
        <v>31</v>
      </c>
      <c r="F219" s="4" t="s">
        <v>25</v>
      </c>
      <c r="G219" s="4" t="s">
        <v>25</v>
      </c>
      <c r="H219" s="4" t="s">
        <v>25</v>
      </c>
      <c r="I219" s="5">
        <v>44682</v>
      </c>
      <c r="J219" s="6">
        <v>0</v>
      </c>
      <c r="K219" s="6">
        <v>0</v>
      </c>
      <c r="L219" s="6">
        <v>15.872</v>
      </c>
      <c r="M219" s="6">
        <v>15.872</v>
      </c>
      <c r="N219" s="6">
        <v>15.872</v>
      </c>
      <c r="O219" s="6">
        <v>15.872</v>
      </c>
      <c r="P219" s="6">
        <v>135</v>
      </c>
      <c r="Q219" s="4" t="s">
        <v>26</v>
      </c>
      <c r="R219" s="4">
        <v>0</v>
      </c>
      <c r="S219" s="4" t="s">
        <v>226</v>
      </c>
      <c r="T219" s="4" t="s">
        <v>415</v>
      </c>
      <c r="U219" s="4">
        <v>0</v>
      </c>
      <c r="V219" s="4">
        <v>38</v>
      </c>
      <c r="W219" s="4">
        <v>79</v>
      </c>
    </row>
    <row r="220" spans="1:23" ht="11.25" customHeight="1" x14ac:dyDescent="0.3">
      <c r="A220" s="4" t="s">
        <v>28</v>
      </c>
      <c r="B220" s="4" t="s">
        <v>22</v>
      </c>
      <c r="C220" s="4" t="s">
        <v>23</v>
      </c>
      <c r="D220" s="4" t="s">
        <v>24</v>
      </c>
      <c r="E220" s="4" t="s">
        <v>31</v>
      </c>
      <c r="F220" s="4" t="s">
        <v>25</v>
      </c>
      <c r="G220" s="4" t="s">
        <v>25</v>
      </c>
      <c r="H220" s="4" t="s">
        <v>25</v>
      </c>
      <c r="I220" s="5">
        <v>44682</v>
      </c>
      <c r="J220" s="6">
        <v>0</v>
      </c>
      <c r="K220" s="6">
        <v>0</v>
      </c>
      <c r="L220" s="6">
        <v>3.4000000000000002E-2</v>
      </c>
      <c r="M220" s="6">
        <v>2.3800000000000002E-2</v>
      </c>
      <c r="N220" s="6">
        <v>3.4000000000000002E-2</v>
      </c>
      <c r="O220" s="6">
        <v>2.3800000000000002E-2</v>
      </c>
      <c r="P220" s="6">
        <v>0</v>
      </c>
      <c r="Q220" s="4" t="s">
        <v>26</v>
      </c>
      <c r="R220" s="4">
        <v>0</v>
      </c>
      <c r="S220" s="4" t="s">
        <v>226</v>
      </c>
      <c r="T220" s="4" t="s">
        <v>415</v>
      </c>
      <c r="U220" s="4">
        <v>0</v>
      </c>
      <c r="V220" s="4">
        <v>38</v>
      </c>
      <c r="W220" s="4">
        <v>79</v>
      </c>
    </row>
    <row r="221" spans="1:23" ht="11.25" customHeight="1" x14ac:dyDescent="0.3">
      <c r="A221" s="4" t="s">
        <v>21</v>
      </c>
      <c r="B221" s="4" t="s">
        <v>22</v>
      </c>
      <c r="C221" s="4" t="s">
        <v>23</v>
      </c>
      <c r="D221" s="4" t="s">
        <v>24</v>
      </c>
      <c r="E221" s="4" t="s">
        <v>31</v>
      </c>
      <c r="F221" s="4" t="s">
        <v>25</v>
      </c>
      <c r="G221" s="4" t="s">
        <v>25</v>
      </c>
      <c r="H221" s="4" t="s">
        <v>25</v>
      </c>
      <c r="I221" s="5">
        <v>44713</v>
      </c>
      <c r="J221" s="6">
        <v>0</v>
      </c>
      <c r="K221" s="6">
        <v>0</v>
      </c>
      <c r="L221" s="6">
        <v>17.007999999999999</v>
      </c>
      <c r="M221" s="6">
        <v>17.007999999999999</v>
      </c>
      <c r="N221" s="6">
        <v>17.007999999999999</v>
      </c>
      <c r="O221" s="6">
        <v>17.007999999999999</v>
      </c>
      <c r="P221" s="6">
        <v>129</v>
      </c>
      <c r="Q221" s="4" t="s">
        <v>26</v>
      </c>
      <c r="R221" s="4">
        <v>0</v>
      </c>
      <c r="S221" s="4" t="s">
        <v>227</v>
      </c>
      <c r="T221" s="4" t="s">
        <v>416</v>
      </c>
      <c r="U221" s="4">
        <v>0</v>
      </c>
      <c r="V221" s="4">
        <v>38</v>
      </c>
      <c r="W221" s="4">
        <v>79</v>
      </c>
    </row>
    <row r="222" spans="1:23" ht="11.25" customHeight="1" x14ac:dyDescent="0.3">
      <c r="A222" s="4" t="s">
        <v>21</v>
      </c>
      <c r="B222" s="4" t="s">
        <v>22</v>
      </c>
      <c r="C222" s="4" t="s">
        <v>23</v>
      </c>
      <c r="D222" s="4" t="s">
        <v>24</v>
      </c>
      <c r="E222" s="4" t="s">
        <v>31</v>
      </c>
      <c r="F222" s="4" t="s">
        <v>25</v>
      </c>
      <c r="G222" s="4" t="s">
        <v>25</v>
      </c>
      <c r="H222" s="4" t="s">
        <v>25</v>
      </c>
      <c r="I222" s="5">
        <v>44743</v>
      </c>
      <c r="J222" s="6">
        <v>0</v>
      </c>
      <c r="K222" s="6">
        <v>0</v>
      </c>
      <c r="L222" s="6">
        <v>13.869</v>
      </c>
      <c r="M222" s="6">
        <v>13.869</v>
      </c>
      <c r="N222" s="6">
        <v>13.869</v>
      </c>
      <c r="O222" s="6">
        <v>13.869</v>
      </c>
      <c r="P222" s="6">
        <v>138</v>
      </c>
      <c r="Q222" s="4" t="s">
        <v>26</v>
      </c>
      <c r="R222" s="4">
        <v>0</v>
      </c>
      <c r="S222" s="4" t="s">
        <v>228</v>
      </c>
      <c r="T222" s="4" t="s">
        <v>417</v>
      </c>
      <c r="U222" s="4">
        <v>0</v>
      </c>
      <c r="V222" s="4">
        <v>38</v>
      </c>
      <c r="W222" s="4">
        <v>79</v>
      </c>
    </row>
    <row r="223" spans="1:23" ht="11.25" customHeight="1" x14ac:dyDescent="0.3">
      <c r="A223" s="4" t="s">
        <v>21</v>
      </c>
      <c r="B223" s="4" t="s">
        <v>22</v>
      </c>
      <c r="C223" s="4" t="s">
        <v>23</v>
      </c>
      <c r="D223" s="4" t="s">
        <v>24</v>
      </c>
      <c r="E223" s="4" t="s">
        <v>31</v>
      </c>
      <c r="F223" s="4" t="s">
        <v>25</v>
      </c>
      <c r="G223" s="4" t="s">
        <v>25</v>
      </c>
      <c r="H223" s="4" t="s">
        <v>25</v>
      </c>
      <c r="I223" s="5">
        <v>44774</v>
      </c>
      <c r="J223" s="6">
        <v>0</v>
      </c>
      <c r="K223" s="6">
        <v>0</v>
      </c>
      <c r="L223" s="6">
        <v>14.058999999999999</v>
      </c>
      <c r="M223" s="6">
        <v>14.058999999999999</v>
      </c>
      <c r="N223" s="6">
        <v>14.058999999999999</v>
      </c>
      <c r="O223" s="6">
        <v>14.058999999999999</v>
      </c>
      <c r="P223" s="6">
        <v>108</v>
      </c>
      <c r="Q223" s="4" t="s">
        <v>26</v>
      </c>
      <c r="R223" s="4">
        <v>0</v>
      </c>
      <c r="S223" s="4" t="s">
        <v>229</v>
      </c>
      <c r="T223" s="4" t="s">
        <v>418</v>
      </c>
      <c r="U223" s="4">
        <v>0</v>
      </c>
      <c r="V223" s="4">
        <v>38</v>
      </c>
      <c r="W223" s="4">
        <v>79</v>
      </c>
    </row>
    <row r="224" spans="1:23" ht="11.25" customHeight="1" x14ac:dyDescent="0.3">
      <c r="A224" s="4" t="s">
        <v>21</v>
      </c>
      <c r="B224" s="4" t="s">
        <v>22</v>
      </c>
      <c r="C224" s="4" t="s">
        <v>23</v>
      </c>
      <c r="D224" s="4" t="s">
        <v>24</v>
      </c>
      <c r="E224" s="4" t="s">
        <v>32</v>
      </c>
      <c r="F224" s="4" t="s">
        <v>25</v>
      </c>
      <c r="G224" s="4" t="s">
        <v>25</v>
      </c>
      <c r="H224" s="4" t="s">
        <v>25</v>
      </c>
      <c r="I224" s="5">
        <v>44440</v>
      </c>
      <c r="J224" s="6">
        <v>0</v>
      </c>
      <c r="K224" s="6">
        <v>0</v>
      </c>
      <c r="L224" s="6">
        <v>2.7719999999999998</v>
      </c>
      <c r="M224" s="6">
        <v>2.7719999999999998</v>
      </c>
      <c r="N224" s="6">
        <v>2.7719999999999998</v>
      </c>
      <c r="O224" s="6">
        <v>2.7719999999999998</v>
      </c>
      <c r="P224" s="6">
        <v>38</v>
      </c>
      <c r="Q224" s="4" t="s">
        <v>26</v>
      </c>
      <c r="R224" s="4">
        <v>0</v>
      </c>
      <c r="S224" s="4" t="s">
        <v>230</v>
      </c>
      <c r="T224" s="4" t="s">
        <v>419</v>
      </c>
      <c r="U224" s="4">
        <v>0</v>
      </c>
      <c r="V224" s="4">
        <v>40</v>
      </c>
      <c r="W224" s="4">
        <v>80</v>
      </c>
    </row>
    <row r="225" spans="1:23" ht="11.25" customHeight="1" x14ac:dyDescent="0.3">
      <c r="A225" s="4" t="s">
        <v>21</v>
      </c>
      <c r="B225" s="4" t="s">
        <v>22</v>
      </c>
      <c r="C225" s="4" t="s">
        <v>23</v>
      </c>
      <c r="D225" s="4" t="s">
        <v>24</v>
      </c>
      <c r="E225" s="4" t="s">
        <v>32</v>
      </c>
      <c r="F225" s="4" t="s">
        <v>25</v>
      </c>
      <c r="G225" s="4" t="s">
        <v>25</v>
      </c>
      <c r="H225" s="4" t="s">
        <v>25</v>
      </c>
      <c r="I225" s="5">
        <v>44470</v>
      </c>
      <c r="J225" s="6">
        <v>0</v>
      </c>
      <c r="K225" s="6">
        <v>0</v>
      </c>
      <c r="L225" s="6">
        <v>2.9910000000000001</v>
      </c>
      <c r="M225" s="6">
        <v>2.9910000000000001</v>
      </c>
      <c r="N225" s="6">
        <v>2.9910000000000001</v>
      </c>
      <c r="O225" s="6">
        <v>2.9910000000000001</v>
      </c>
      <c r="P225" s="6">
        <v>40</v>
      </c>
      <c r="Q225" s="4" t="s">
        <v>26</v>
      </c>
      <c r="R225" s="4">
        <v>0</v>
      </c>
      <c r="S225" s="4" t="s">
        <v>231</v>
      </c>
      <c r="T225" s="4" t="s">
        <v>420</v>
      </c>
      <c r="U225" s="4">
        <v>0</v>
      </c>
      <c r="V225" s="4">
        <v>40</v>
      </c>
      <c r="W225" s="4">
        <v>80</v>
      </c>
    </row>
    <row r="226" spans="1:23" ht="11.25" customHeight="1" x14ac:dyDescent="0.3">
      <c r="A226" s="4" t="s">
        <v>21</v>
      </c>
      <c r="B226" s="4" t="s">
        <v>22</v>
      </c>
      <c r="C226" s="4" t="s">
        <v>23</v>
      </c>
      <c r="D226" s="4" t="s">
        <v>24</v>
      </c>
      <c r="E226" s="4" t="s">
        <v>32</v>
      </c>
      <c r="F226" s="4" t="s">
        <v>25</v>
      </c>
      <c r="G226" s="4" t="s">
        <v>25</v>
      </c>
      <c r="H226" s="4" t="s">
        <v>25</v>
      </c>
      <c r="I226" s="5">
        <v>44501</v>
      </c>
      <c r="J226" s="6">
        <v>0</v>
      </c>
      <c r="K226" s="6">
        <v>0</v>
      </c>
      <c r="L226" s="6">
        <v>2.5720000000000001</v>
      </c>
      <c r="M226" s="6">
        <v>2.5720000000000001</v>
      </c>
      <c r="N226" s="6">
        <v>2.5720000000000001</v>
      </c>
      <c r="O226" s="6">
        <v>2.5720000000000001</v>
      </c>
      <c r="P226" s="6">
        <v>36</v>
      </c>
      <c r="Q226" s="4" t="s">
        <v>26</v>
      </c>
      <c r="R226" s="4">
        <v>0</v>
      </c>
      <c r="S226" s="4" t="s">
        <v>232</v>
      </c>
      <c r="T226" s="4" t="s">
        <v>421</v>
      </c>
      <c r="U226" s="4">
        <v>0</v>
      </c>
      <c r="V226" s="4">
        <v>40</v>
      </c>
      <c r="W226" s="4">
        <v>80</v>
      </c>
    </row>
    <row r="227" spans="1:23" ht="11.25" customHeight="1" x14ac:dyDescent="0.3">
      <c r="A227" s="4" t="s">
        <v>27</v>
      </c>
      <c r="B227" s="4" t="s">
        <v>22</v>
      </c>
      <c r="C227" s="4" t="s">
        <v>23</v>
      </c>
      <c r="D227" s="4" t="s">
        <v>24</v>
      </c>
      <c r="E227" s="4" t="s">
        <v>32</v>
      </c>
      <c r="F227" s="4" t="s">
        <v>25</v>
      </c>
      <c r="G227" s="4" t="s">
        <v>25</v>
      </c>
      <c r="H227" s="4" t="s">
        <v>25</v>
      </c>
      <c r="I227" s="5">
        <v>44501</v>
      </c>
      <c r="J227" s="6">
        <v>0</v>
      </c>
      <c r="K227" s="6">
        <v>0</v>
      </c>
      <c r="L227" s="6">
        <v>0.01</v>
      </c>
      <c r="M227" s="6">
        <v>0.01</v>
      </c>
      <c r="N227" s="6">
        <v>0.01</v>
      </c>
      <c r="O227" s="6">
        <v>0.01</v>
      </c>
      <c r="P227" s="6">
        <v>0</v>
      </c>
      <c r="Q227" s="4" t="s">
        <v>26</v>
      </c>
      <c r="R227" s="4">
        <v>0</v>
      </c>
      <c r="S227" s="4" t="s">
        <v>232</v>
      </c>
      <c r="T227" s="4" t="s">
        <v>421</v>
      </c>
      <c r="U227" s="4">
        <v>0</v>
      </c>
      <c r="V227" s="4">
        <v>40</v>
      </c>
      <c r="W227" s="4">
        <v>80</v>
      </c>
    </row>
    <row r="228" spans="1:23" ht="11.25" customHeight="1" x14ac:dyDescent="0.3">
      <c r="A228" s="4" t="s">
        <v>21</v>
      </c>
      <c r="B228" s="4" t="s">
        <v>22</v>
      </c>
      <c r="C228" s="4" t="s">
        <v>23</v>
      </c>
      <c r="D228" s="4" t="s">
        <v>24</v>
      </c>
      <c r="E228" s="4" t="s">
        <v>32</v>
      </c>
      <c r="F228" s="4" t="s">
        <v>25</v>
      </c>
      <c r="G228" s="4" t="s">
        <v>25</v>
      </c>
      <c r="H228" s="4" t="s">
        <v>25</v>
      </c>
      <c r="I228" s="5">
        <v>44531</v>
      </c>
      <c r="J228" s="6">
        <v>0</v>
      </c>
      <c r="K228" s="6">
        <v>0</v>
      </c>
      <c r="L228" s="6">
        <v>2.5059999999999998</v>
      </c>
      <c r="M228" s="6">
        <v>2.5059999999999998</v>
      </c>
      <c r="N228" s="6">
        <v>2.5059999999999998</v>
      </c>
      <c r="O228" s="6">
        <v>2.5059999999999998</v>
      </c>
      <c r="P228" s="6">
        <v>43</v>
      </c>
      <c r="Q228" s="4" t="s">
        <v>26</v>
      </c>
      <c r="R228" s="4">
        <v>0</v>
      </c>
      <c r="S228" s="4" t="s">
        <v>233</v>
      </c>
      <c r="T228" s="4" t="s">
        <v>422</v>
      </c>
      <c r="U228" s="4">
        <v>0</v>
      </c>
      <c r="V228" s="4">
        <v>40</v>
      </c>
      <c r="W228" s="4">
        <v>80</v>
      </c>
    </row>
    <row r="229" spans="1:23" ht="11.25" customHeight="1" x14ac:dyDescent="0.3">
      <c r="A229" s="4" t="s">
        <v>21</v>
      </c>
      <c r="B229" s="4" t="s">
        <v>22</v>
      </c>
      <c r="C229" s="4" t="s">
        <v>23</v>
      </c>
      <c r="D229" s="4" t="s">
        <v>24</v>
      </c>
      <c r="E229" s="4" t="s">
        <v>32</v>
      </c>
      <c r="F229" s="4" t="s">
        <v>25</v>
      </c>
      <c r="G229" s="4" t="s">
        <v>25</v>
      </c>
      <c r="H229" s="4" t="s">
        <v>25</v>
      </c>
      <c r="I229" s="5">
        <v>44562</v>
      </c>
      <c r="J229" s="6">
        <v>0</v>
      </c>
      <c r="K229" s="6">
        <v>0</v>
      </c>
      <c r="L229" s="6">
        <v>5.2519999999999998</v>
      </c>
      <c r="M229" s="6">
        <v>5.2519999999999998</v>
      </c>
      <c r="N229" s="6">
        <v>5.2519999999999998</v>
      </c>
      <c r="O229" s="6">
        <v>5.2519999999999998</v>
      </c>
      <c r="P229" s="6">
        <v>67</v>
      </c>
      <c r="Q229" s="4" t="s">
        <v>26</v>
      </c>
      <c r="R229" s="4">
        <v>0</v>
      </c>
      <c r="S229" s="4" t="s">
        <v>234</v>
      </c>
      <c r="T229" s="4" t="s">
        <v>423</v>
      </c>
      <c r="U229" s="4">
        <v>0</v>
      </c>
      <c r="V229" s="4">
        <v>40</v>
      </c>
      <c r="W229" s="4">
        <v>80</v>
      </c>
    </row>
    <row r="230" spans="1:23" ht="11.25" customHeight="1" x14ac:dyDescent="0.3">
      <c r="A230" s="4" t="s">
        <v>21</v>
      </c>
      <c r="B230" s="4" t="s">
        <v>22</v>
      </c>
      <c r="C230" s="4" t="s">
        <v>23</v>
      </c>
      <c r="D230" s="4" t="s">
        <v>24</v>
      </c>
      <c r="E230" s="4" t="s">
        <v>32</v>
      </c>
      <c r="F230" s="4" t="s">
        <v>25</v>
      </c>
      <c r="G230" s="4" t="s">
        <v>25</v>
      </c>
      <c r="H230" s="4" t="s">
        <v>25</v>
      </c>
      <c r="I230" s="5">
        <v>44593</v>
      </c>
      <c r="J230" s="6">
        <v>0</v>
      </c>
      <c r="K230" s="6">
        <v>0</v>
      </c>
      <c r="L230" s="6">
        <v>7.7409999999999997</v>
      </c>
      <c r="M230" s="6">
        <v>7.7409999999999997</v>
      </c>
      <c r="N230" s="6">
        <v>7.7409999999999997</v>
      </c>
      <c r="O230" s="6">
        <v>7.7409999999999997</v>
      </c>
      <c r="P230" s="6">
        <v>84</v>
      </c>
      <c r="Q230" s="4" t="s">
        <v>26</v>
      </c>
      <c r="R230" s="4">
        <v>0</v>
      </c>
      <c r="S230" s="4" t="s">
        <v>235</v>
      </c>
      <c r="T230" s="4" t="s">
        <v>424</v>
      </c>
      <c r="U230" s="4">
        <v>0</v>
      </c>
      <c r="V230" s="4">
        <v>40</v>
      </c>
      <c r="W230" s="4">
        <v>80</v>
      </c>
    </row>
    <row r="231" spans="1:23" ht="11.25" customHeight="1" x14ac:dyDescent="0.3">
      <c r="A231" s="4" t="s">
        <v>21</v>
      </c>
      <c r="B231" s="4" t="s">
        <v>22</v>
      </c>
      <c r="C231" s="4" t="s">
        <v>23</v>
      </c>
      <c r="D231" s="4" t="s">
        <v>24</v>
      </c>
      <c r="E231" s="4" t="s">
        <v>32</v>
      </c>
      <c r="F231" s="4" t="s">
        <v>25</v>
      </c>
      <c r="G231" s="4" t="s">
        <v>25</v>
      </c>
      <c r="H231" s="4" t="s">
        <v>25</v>
      </c>
      <c r="I231" s="5">
        <v>44621</v>
      </c>
      <c r="J231" s="6">
        <v>0</v>
      </c>
      <c r="K231" s="6">
        <v>0</v>
      </c>
      <c r="L231" s="6">
        <v>8.2520000000000007</v>
      </c>
      <c r="M231" s="6">
        <v>8.2520000000000007</v>
      </c>
      <c r="N231" s="6">
        <v>8.2520000000000007</v>
      </c>
      <c r="O231" s="6">
        <v>8.2520000000000007</v>
      </c>
      <c r="P231" s="6">
        <v>83</v>
      </c>
      <c r="Q231" s="4" t="s">
        <v>26</v>
      </c>
      <c r="R231" s="4">
        <v>0</v>
      </c>
      <c r="S231" s="4" t="s">
        <v>236</v>
      </c>
      <c r="T231" s="4" t="s">
        <v>425</v>
      </c>
      <c r="U231" s="4">
        <v>0</v>
      </c>
      <c r="V231" s="4">
        <v>40</v>
      </c>
      <c r="W231" s="4">
        <v>80</v>
      </c>
    </row>
    <row r="232" spans="1:23" ht="11.25" customHeight="1" x14ac:dyDescent="0.3">
      <c r="A232" s="4" t="s">
        <v>21</v>
      </c>
      <c r="B232" s="4" t="s">
        <v>22</v>
      </c>
      <c r="C232" s="4" t="s">
        <v>23</v>
      </c>
      <c r="D232" s="4" t="s">
        <v>24</v>
      </c>
      <c r="E232" s="4" t="s">
        <v>32</v>
      </c>
      <c r="F232" s="4" t="s">
        <v>25</v>
      </c>
      <c r="G232" s="4" t="s">
        <v>25</v>
      </c>
      <c r="H232" s="4" t="s">
        <v>25</v>
      </c>
      <c r="I232" s="5">
        <v>44652</v>
      </c>
      <c r="J232" s="6">
        <v>0</v>
      </c>
      <c r="K232" s="6">
        <v>0</v>
      </c>
      <c r="L232" s="6">
        <v>11.680999999999999</v>
      </c>
      <c r="M232" s="6">
        <v>11.680999999999999</v>
      </c>
      <c r="N232" s="6">
        <v>11.680999999999999</v>
      </c>
      <c r="O232" s="6">
        <v>11.680999999999999</v>
      </c>
      <c r="P232" s="6">
        <v>122</v>
      </c>
      <c r="Q232" s="4" t="s">
        <v>26</v>
      </c>
      <c r="R232" s="4">
        <v>0</v>
      </c>
      <c r="S232" s="4" t="s">
        <v>237</v>
      </c>
      <c r="T232" s="4" t="s">
        <v>426</v>
      </c>
      <c r="U232" s="4">
        <v>0</v>
      </c>
      <c r="V232" s="4">
        <v>40</v>
      </c>
      <c r="W232" s="4">
        <v>80</v>
      </c>
    </row>
    <row r="233" spans="1:23" ht="11.25" customHeight="1" x14ac:dyDescent="0.3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32</v>
      </c>
      <c r="F233" s="4" t="s">
        <v>25</v>
      </c>
      <c r="G233" s="4" t="s">
        <v>25</v>
      </c>
      <c r="H233" s="4" t="s">
        <v>25</v>
      </c>
      <c r="I233" s="5">
        <v>44682</v>
      </c>
      <c r="J233" s="6">
        <v>0</v>
      </c>
      <c r="K233" s="6">
        <v>0</v>
      </c>
      <c r="L233" s="6">
        <v>7.53</v>
      </c>
      <c r="M233" s="6">
        <v>7.53</v>
      </c>
      <c r="N233" s="6">
        <v>7.53</v>
      </c>
      <c r="O233" s="6">
        <v>7.53</v>
      </c>
      <c r="P233" s="6">
        <v>72</v>
      </c>
      <c r="Q233" s="4" t="s">
        <v>26</v>
      </c>
      <c r="R233" s="4">
        <v>0</v>
      </c>
      <c r="S233" s="4" t="s">
        <v>238</v>
      </c>
      <c r="T233" s="4" t="s">
        <v>427</v>
      </c>
      <c r="U233" s="4">
        <v>0</v>
      </c>
      <c r="V233" s="4">
        <v>40</v>
      </c>
      <c r="W233" s="4">
        <v>80</v>
      </c>
    </row>
    <row r="234" spans="1:23" ht="11.25" customHeight="1" x14ac:dyDescent="0.3">
      <c r="A234" s="4" t="s">
        <v>21</v>
      </c>
      <c r="B234" s="4" t="s">
        <v>22</v>
      </c>
      <c r="C234" s="4" t="s">
        <v>23</v>
      </c>
      <c r="D234" s="4" t="s">
        <v>24</v>
      </c>
      <c r="E234" s="4" t="s">
        <v>32</v>
      </c>
      <c r="F234" s="4" t="s">
        <v>25</v>
      </c>
      <c r="G234" s="4" t="s">
        <v>25</v>
      </c>
      <c r="H234" s="4" t="s">
        <v>25</v>
      </c>
      <c r="I234" s="5">
        <v>44713</v>
      </c>
      <c r="J234" s="6">
        <v>0</v>
      </c>
      <c r="K234" s="6">
        <v>0</v>
      </c>
      <c r="L234" s="6">
        <v>8.8190000000000008</v>
      </c>
      <c r="M234" s="6">
        <v>8.8190000000000008</v>
      </c>
      <c r="N234" s="6">
        <v>8.8190000000000008</v>
      </c>
      <c r="O234" s="6">
        <v>8.8190000000000008</v>
      </c>
      <c r="P234" s="6">
        <v>77</v>
      </c>
      <c r="Q234" s="4" t="s">
        <v>26</v>
      </c>
      <c r="R234" s="4">
        <v>0</v>
      </c>
      <c r="S234" s="4" t="s">
        <v>239</v>
      </c>
      <c r="T234" s="4" t="s">
        <v>428</v>
      </c>
      <c r="U234" s="4">
        <v>0</v>
      </c>
      <c r="V234" s="4">
        <v>40</v>
      </c>
      <c r="W234" s="4">
        <v>80</v>
      </c>
    </row>
    <row r="235" spans="1:23" ht="11.25" customHeight="1" x14ac:dyDescent="0.3">
      <c r="A235" s="4" t="s">
        <v>21</v>
      </c>
      <c r="B235" s="4" t="s">
        <v>22</v>
      </c>
      <c r="C235" s="4" t="s">
        <v>23</v>
      </c>
      <c r="D235" s="4" t="s">
        <v>24</v>
      </c>
      <c r="E235" s="4" t="s">
        <v>32</v>
      </c>
      <c r="F235" s="4" t="s">
        <v>25</v>
      </c>
      <c r="G235" s="4" t="s">
        <v>25</v>
      </c>
      <c r="H235" s="4" t="s">
        <v>25</v>
      </c>
      <c r="I235" s="5">
        <v>44743</v>
      </c>
      <c r="J235" s="6">
        <v>0</v>
      </c>
      <c r="K235" s="6">
        <v>0</v>
      </c>
      <c r="L235" s="6">
        <v>5.0469999999999997</v>
      </c>
      <c r="M235" s="6">
        <v>5.0469999999999997</v>
      </c>
      <c r="N235" s="6">
        <v>5.0469999999999997</v>
      </c>
      <c r="O235" s="6">
        <v>5.0469999999999997</v>
      </c>
      <c r="P235" s="6">
        <v>53</v>
      </c>
      <c r="Q235" s="4" t="s">
        <v>26</v>
      </c>
      <c r="R235" s="4">
        <v>0</v>
      </c>
      <c r="S235" s="4" t="s">
        <v>240</v>
      </c>
      <c r="T235" s="4" t="s">
        <v>429</v>
      </c>
      <c r="U235" s="4">
        <v>0</v>
      </c>
      <c r="V235" s="4">
        <v>40</v>
      </c>
      <c r="W235" s="4">
        <v>80</v>
      </c>
    </row>
    <row r="236" spans="1:23" ht="11.25" customHeight="1" x14ac:dyDescent="0.3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32</v>
      </c>
      <c r="F236" s="4" t="s">
        <v>25</v>
      </c>
      <c r="G236" s="4" t="s">
        <v>25</v>
      </c>
      <c r="H236" s="4" t="s">
        <v>25</v>
      </c>
      <c r="I236" s="5">
        <v>44774</v>
      </c>
      <c r="J236" s="6">
        <v>0</v>
      </c>
      <c r="K236" s="6">
        <v>0</v>
      </c>
      <c r="L236" s="6">
        <v>6.5069999999999997</v>
      </c>
      <c r="M236" s="6">
        <v>6.5069999999999997</v>
      </c>
      <c r="N236" s="6">
        <v>6.5069999999999997</v>
      </c>
      <c r="O236" s="6">
        <v>6.5069999999999997</v>
      </c>
      <c r="P236" s="6">
        <v>65</v>
      </c>
      <c r="Q236" s="4" t="s">
        <v>26</v>
      </c>
      <c r="R236" s="4">
        <v>0</v>
      </c>
      <c r="S236" s="4" t="s">
        <v>241</v>
      </c>
      <c r="T236" s="4" t="s">
        <v>430</v>
      </c>
      <c r="U236" s="4">
        <v>0</v>
      </c>
      <c r="V236" s="4">
        <v>40</v>
      </c>
      <c r="W236" s="4">
        <v>80</v>
      </c>
    </row>
    <row r="237" spans="1:23" ht="11.25" customHeight="1" x14ac:dyDescent="0.3">
      <c r="A237" s="4" t="s">
        <v>21</v>
      </c>
      <c r="B237" s="4" t="s">
        <v>43</v>
      </c>
      <c r="C237" s="4" t="s">
        <v>23</v>
      </c>
      <c r="D237" s="4" t="s">
        <v>44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44440</v>
      </c>
      <c r="J237" s="6">
        <v>0</v>
      </c>
      <c r="K237" s="6">
        <v>0</v>
      </c>
      <c r="L237" s="6">
        <v>1415.9390000000001</v>
      </c>
      <c r="M237" s="6">
        <v>1415.9390000000001</v>
      </c>
      <c r="N237" s="6">
        <v>1415.9390000000001</v>
      </c>
      <c r="O237" s="6">
        <v>1415.9390000000001</v>
      </c>
      <c r="P237" s="6">
        <v>5752</v>
      </c>
      <c r="Q237" s="4" t="s">
        <v>26</v>
      </c>
      <c r="R237" s="4">
        <v>0</v>
      </c>
      <c r="S237" s="4" t="s">
        <v>242</v>
      </c>
      <c r="T237" s="4" t="s">
        <v>431</v>
      </c>
      <c r="U237" s="4">
        <v>0</v>
      </c>
      <c r="V237" s="4">
        <v>52</v>
      </c>
      <c r="W237" s="4">
        <v>9</v>
      </c>
    </row>
    <row r="238" spans="1:23" ht="11.25" customHeight="1" x14ac:dyDescent="0.3">
      <c r="A238" s="4" t="s">
        <v>27</v>
      </c>
      <c r="B238" s="4" t="s">
        <v>43</v>
      </c>
      <c r="C238" s="4" t="s">
        <v>23</v>
      </c>
      <c r="D238" s="4" t="s">
        <v>44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44440</v>
      </c>
      <c r="J238" s="6">
        <v>0</v>
      </c>
      <c r="K238" s="6">
        <v>0</v>
      </c>
      <c r="L238" s="6">
        <v>0.70099999999999996</v>
      </c>
      <c r="M238" s="6">
        <v>0.70099999999999996</v>
      </c>
      <c r="N238" s="6">
        <v>0.70099999999999996</v>
      </c>
      <c r="O238" s="6">
        <v>0.70099999999999996</v>
      </c>
      <c r="P238" s="6">
        <v>0</v>
      </c>
      <c r="Q238" s="4" t="s">
        <v>26</v>
      </c>
      <c r="R238" s="4">
        <v>0</v>
      </c>
      <c r="S238" s="4" t="s">
        <v>242</v>
      </c>
      <c r="T238" s="4" t="s">
        <v>431</v>
      </c>
      <c r="U238" s="4">
        <v>0</v>
      </c>
      <c r="V238" s="4">
        <v>52</v>
      </c>
      <c r="W238" s="4">
        <v>9</v>
      </c>
    </row>
    <row r="239" spans="1:23" ht="11.25" customHeight="1" x14ac:dyDescent="0.3">
      <c r="A239" s="4" t="s">
        <v>28</v>
      </c>
      <c r="B239" s="4" t="s">
        <v>43</v>
      </c>
      <c r="C239" s="4" t="s">
        <v>23</v>
      </c>
      <c r="D239" s="4" t="s">
        <v>44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44440</v>
      </c>
      <c r="J239" s="6">
        <v>0</v>
      </c>
      <c r="K239" s="6">
        <v>0</v>
      </c>
      <c r="L239" s="6">
        <v>16.902999999999999</v>
      </c>
      <c r="M239" s="6">
        <v>16.902999999999999</v>
      </c>
      <c r="N239" s="6">
        <v>16.902999999999999</v>
      </c>
      <c r="O239" s="6">
        <v>16.902999999999999</v>
      </c>
      <c r="P239" s="6">
        <v>85</v>
      </c>
      <c r="Q239" s="4" t="s">
        <v>26</v>
      </c>
      <c r="R239" s="4">
        <v>0</v>
      </c>
      <c r="S239" s="4" t="s">
        <v>242</v>
      </c>
      <c r="T239" s="4" t="s">
        <v>431</v>
      </c>
      <c r="U239" s="4">
        <v>0</v>
      </c>
      <c r="V239" s="4">
        <v>52</v>
      </c>
      <c r="W239" s="4">
        <v>9</v>
      </c>
    </row>
    <row r="240" spans="1:23" ht="11.25" customHeight="1" x14ac:dyDescent="0.3">
      <c r="A240" s="4" t="s">
        <v>28</v>
      </c>
      <c r="B240" s="4" t="s">
        <v>43</v>
      </c>
      <c r="C240" s="4" t="s">
        <v>23</v>
      </c>
      <c r="D240" s="4" t="s">
        <v>44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44440</v>
      </c>
      <c r="J240" s="6">
        <v>0</v>
      </c>
      <c r="K240" s="6">
        <v>0</v>
      </c>
      <c r="L240" s="6">
        <v>-7.5999999999999998E-2</v>
      </c>
      <c r="M240" s="6">
        <v>-7.5999999999999998E-2</v>
      </c>
      <c r="N240" s="6">
        <v>-7.5999999999999998E-2</v>
      </c>
      <c r="O240" s="6">
        <v>-7.5999999999999998E-2</v>
      </c>
      <c r="P240" s="6">
        <v>1</v>
      </c>
      <c r="Q240" s="4" t="s">
        <v>26</v>
      </c>
      <c r="R240" s="4">
        <v>0</v>
      </c>
      <c r="S240" s="4" t="s">
        <v>242</v>
      </c>
      <c r="T240" s="4" t="s">
        <v>431</v>
      </c>
      <c r="U240" s="4">
        <v>0</v>
      </c>
      <c r="V240" s="4">
        <v>52</v>
      </c>
      <c r="W240" s="4">
        <v>9</v>
      </c>
    </row>
    <row r="241" spans="1:23" ht="11.25" customHeight="1" x14ac:dyDescent="0.3">
      <c r="A241" s="4" t="s">
        <v>21</v>
      </c>
      <c r="B241" s="4" t="s">
        <v>43</v>
      </c>
      <c r="C241" s="4" t="s">
        <v>23</v>
      </c>
      <c r="D241" s="4" t="s">
        <v>44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44470</v>
      </c>
      <c r="J241" s="6">
        <v>0</v>
      </c>
      <c r="K241" s="6">
        <v>0</v>
      </c>
      <c r="L241" s="6">
        <v>1479.7449999999999</v>
      </c>
      <c r="M241" s="6">
        <v>1479.7449999999999</v>
      </c>
      <c r="N241" s="6">
        <v>1479.7449999999999</v>
      </c>
      <c r="O241" s="6">
        <v>1479.7449999999999</v>
      </c>
      <c r="P241" s="6">
        <v>5740</v>
      </c>
      <c r="Q241" s="4" t="s">
        <v>26</v>
      </c>
      <c r="R241" s="4">
        <v>0</v>
      </c>
      <c r="S241" s="4" t="s">
        <v>243</v>
      </c>
      <c r="T241" s="4" t="s">
        <v>432</v>
      </c>
      <c r="U241" s="4">
        <v>0</v>
      </c>
      <c r="V241" s="4">
        <v>52</v>
      </c>
      <c r="W241" s="4">
        <v>9</v>
      </c>
    </row>
    <row r="242" spans="1:23" ht="11.25" customHeight="1" x14ac:dyDescent="0.3">
      <c r="A242" s="4" t="s">
        <v>27</v>
      </c>
      <c r="B242" s="4" t="s">
        <v>43</v>
      </c>
      <c r="C242" s="4" t="s">
        <v>23</v>
      </c>
      <c r="D242" s="4" t="s">
        <v>44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44470</v>
      </c>
      <c r="J242" s="6">
        <v>0</v>
      </c>
      <c r="K242" s="6">
        <v>0</v>
      </c>
      <c r="L242" s="6">
        <v>-4.7249999999999996</v>
      </c>
      <c r="M242" s="6">
        <v>-4.7249999999999996</v>
      </c>
      <c r="N242" s="6">
        <v>-4.7249999999999996</v>
      </c>
      <c r="O242" s="6">
        <v>-4.7249999999999996</v>
      </c>
      <c r="P242" s="6">
        <v>0</v>
      </c>
      <c r="Q242" s="4" t="s">
        <v>26</v>
      </c>
      <c r="R242" s="4">
        <v>0</v>
      </c>
      <c r="S242" s="4" t="s">
        <v>243</v>
      </c>
      <c r="T242" s="4" t="s">
        <v>432</v>
      </c>
      <c r="U242" s="4">
        <v>0</v>
      </c>
      <c r="V242" s="4">
        <v>52</v>
      </c>
      <c r="W242" s="4">
        <v>9</v>
      </c>
    </row>
    <row r="243" spans="1:23" ht="11.25" customHeight="1" x14ac:dyDescent="0.3">
      <c r="A243" s="4" t="s">
        <v>28</v>
      </c>
      <c r="B243" s="4" t="s">
        <v>43</v>
      </c>
      <c r="C243" s="4" t="s">
        <v>23</v>
      </c>
      <c r="D243" s="4" t="s">
        <v>44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44470</v>
      </c>
      <c r="J243" s="6">
        <v>0</v>
      </c>
      <c r="K243" s="6">
        <v>0</v>
      </c>
      <c r="L243" s="6">
        <v>20.302</v>
      </c>
      <c r="M243" s="6">
        <v>20.302</v>
      </c>
      <c r="N243" s="6">
        <v>20.302</v>
      </c>
      <c r="O243" s="6">
        <v>20.302</v>
      </c>
      <c r="P243" s="6">
        <v>89</v>
      </c>
      <c r="Q243" s="4" t="s">
        <v>26</v>
      </c>
      <c r="R243" s="4">
        <v>0</v>
      </c>
      <c r="S243" s="4" t="s">
        <v>243</v>
      </c>
      <c r="T243" s="4" t="s">
        <v>432</v>
      </c>
      <c r="U243" s="4">
        <v>0</v>
      </c>
      <c r="V243" s="4">
        <v>52</v>
      </c>
      <c r="W243" s="4">
        <v>9</v>
      </c>
    </row>
    <row r="244" spans="1:23" ht="11.25" customHeight="1" x14ac:dyDescent="0.3">
      <c r="A244" s="4" t="s">
        <v>21</v>
      </c>
      <c r="B244" s="4" t="s">
        <v>43</v>
      </c>
      <c r="C244" s="4" t="s">
        <v>23</v>
      </c>
      <c r="D244" s="4" t="s">
        <v>44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44501</v>
      </c>
      <c r="J244" s="6">
        <v>0</v>
      </c>
      <c r="K244" s="6">
        <v>0</v>
      </c>
      <c r="L244" s="6">
        <v>1591.5719999999999</v>
      </c>
      <c r="M244" s="6">
        <v>1591.5719999999999</v>
      </c>
      <c r="N244" s="6">
        <v>1591.5719999999999</v>
      </c>
      <c r="O244" s="6">
        <v>1591.5719999999999</v>
      </c>
      <c r="P244" s="6">
        <v>5726</v>
      </c>
      <c r="Q244" s="4" t="s">
        <v>26</v>
      </c>
      <c r="R244" s="4">
        <v>0</v>
      </c>
      <c r="S244" s="4" t="s">
        <v>244</v>
      </c>
      <c r="T244" s="4" t="s">
        <v>433</v>
      </c>
      <c r="U244" s="4">
        <v>0</v>
      </c>
      <c r="V244" s="4">
        <v>52</v>
      </c>
      <c r="W244" s="4">
        <v>9</v>
      </c>
    </row>
    <row r="245" spans="1:23" ht="11.25" customHeight="1" x14ac:dyDescent="0.3">
      <c r="A245" s="4" t="s">
        <v>27</v>
      </c>
      <c r="B245" s="4" t="s">
        <v>43</v>
      </c>
      <c r="C245" s="4" t="s">
        <v>23</v>
      </c>
      <c r="D245" s="4" t="s">
        <v>44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44501</v>
      </c>
      <c r="J245" s="6">
        <v>0</v>
      </c>
      <c r="K245" s="6">
        <v>0</v>
      </c>
      <c r="L245" s="6">
        <v>-4.9260000000000002</v>
      </c>
      <c r="M245" s="6">
        <v>-4.9260000000000002</v>
      </c>
      <c r="N245" s="6">
        <v>-4.9260000000000002</v>
      </c>
      <c r="O245" s="6">
        <v>-4.9260000000000002</v>
      </c>
      <c r="P245" s="6">
        <v>0</v>
      </c>
      <c r="Q245" s="4" t="s">
        <v>26</v>
      </c>
      <c r="R245" s="4">
        <v>0</v>
      </c>
      <c r="S245" s="4" t="s">
        <v>244</v>
      </c>
      <c r="T245" s="4" t="s">
        <v>433</v>
      </c>
      <c r="U245" s="4">
        <v>0</v>
      </c>
      <c r="V245" s="4">
        <v>52</v>
      </c>
      <c r="W245" s="4">
        <v>9</v>
      </c>
    </row>
    <row r="246" spans="1:23" ht="11.25" customHeight="1" x14ac:dyDescent="0.3">
      <c r="A246" s="4" t="s">
        <v>28</v>
      </c>
      <c r="B246" s="4" t="s">
        <v>43</v>
      </c>
      <c r="C246" s="4" t="s">
        <v>23</v>
      </c>
      <c r="D246" s="4" t="s">
        <v>44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44501</v>
      </c>
      <c r="J246" s="6">
        <v>0</v>
      </c>
      <c r="K246" s="6">
        <v>0</v>
      </c>
      <c r="L246" s="6">
        <v>19.436</v>
      </c>
      <c r="M246" s="6">
        <v>19.436</v>
      </c>
      <c r="N246" s="6">
        <v>19.436</v>
      </c>
      <c r="O246" s="6">
        <v>19.436</v>
      </c>
      <c r="P246" s="6">
        <v>105</v>
      </c>
      <c r="Q246" s="4" t="s">
        <v>26</v>
      </c>
      <c r="R246" s="4">
        <v>0</v>
      </c>
      <c r="S246" s="4" t="s">
        <v>244</v>
      </c>
      <c r="T246" s="4" t="s">
        <v>433</v>
      </c>
      <c r="U246" s="4">
        <v>0</v>
      </c>
      <c r="V246" s="4">
        <v>52</v>
      </c>
      <c r="W246" s="4">
        <v>9</v>
      </c>
    </row>
    <row r="247" spans="1:23" ht="11.25" customHeight="1" x14ac:dyDescent="0.3">
      <c r="A247" s="4" t="s">
        <v>28</v>
      </c>
      <c r="B247" s="4" t="s">
        <v>43</v>
      </c>
      <c r="C247" s="4" t="s">
        <v>23</v>
      </c>
      <c r="D247" s="4" t="s">
        <v>44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44501</v>
      </c>
      <c r="J247" s="6">
        <v>0</v>
      </c>
      <c r="K247" s="6">
        <v>0</v>
      </c>
      <c r="L247" s="6">
        <v>-1.0269999999999999</v>
      </c>
      <c r="M247" s="6">
        <v>-1.0269999999999999</v>
      </c>
      <c r="N247" s="6">
        <v>-1.0269999999999999</v>
      </c>
      <c r="O247" s="6">
        <v>-1.0269999999999999</v>
      </c>
      <c r="P247" s="6">
        <v>2</v>
      </c>
      <c r="Q247" s="4" t="s">
        <v>26</v>
      </c>
      <c r="R247" s="4">
        <v>0</v>
      </c>
      <c r="S247" s="4" t="s">
        <v>244</v>
      </c>
      <c r="T247" s="4" t="s">
        <v>433</v>
      </c>
      <c r="U247" s="4">
        <v>0</v>
      </c>
      <c r="V247" s="4">
        <v>52</v>
      </c>
      <c r="W247" s="4">
        <v>9</v>
      </c>
    </row>
    <row r="248" spans="1:23" ht="11.25" customHeight="1" x14ac:dyDescent="0.3">
      <c r="A248" s="4" t="s">
        <v>21</v>
      </c>
      <c r="B248" s="4" t="s">
        <v>43</v>
      </c>
      <c r="C248" s="4" t="s">
        <v>23</v>
      </c>
      <c r="D248" s="4" t="s">
        <v>44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44531</v>
      </c>
      <c r="J248" s="6">
        <v>0</v>
      </c>
      <c r="K248" s="6">
        <v>0</v>
      </c>
      <c r="L248" s="6">
        <v>1747.2080000000001</v>
      </c>
      <c r="M248" s="6">
        <v>1747.2080000000001</v>
      </c>
      <c r="N248" s="6">
        <v>1747.2080000000001</v>
      </c>
      <c r="O248" s="6">
        <v>1747.2080000000001</v>
      </c>
      <c r="P248" s="6">
        <v>5715</v>
      </c>
      <c r="Q248" s="4" t="s">
        <v>26</v>
      </c>
      <c r="R248" s="4">
        <v>0</v>
      </c>
      <c r="S248" s="4" t="s">
        <v>245</v>
      </c>
      <c r="T248" s="4" t="s">
        <v>434</v>
      </c>
      <c r="U248" s="4">
        <v>0</v>
      </c>
      <c r="V248" s="4">
        <v>52</v>
      </c>
      <c r="W248" s="4">
        <v>9</v>
      </c>
    </row>
    <row r="249" spans="1:23" ht="11.25" customHeight="1" x14ac:dyDescent="0.3">
      <c r="A249" s="4" t="s">
        <v>27</v>
      </c>
      <c r="B249" s="4" t="s">
        <v>43</v>
      </c>
      <c r="C249" s="4" t="s">
        <v>23</v>
      </c>
      <c r="D249" s="4" t="s">
        <v>44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44531</v>
      </c>
      <c r="J249" s="6">
        <v>0</v>
      </c>
      <c r="K249" s="6">
        <v>0</v>
      </c>
      <c r="L249" s="6">
        <v>0.81899999999999995</v>
      </c>
      <c r="M249" s="6">
        <v>0.81899999999999995</v>
      </c>
      <c r="N249" s="6">
        <v>0.81899999999999995</v>
      </c>
      <c r="O249" s="6">
        <v>0.81899999999999995</v>
      </c>
      <c r="P249" s="6">
        <v>0</v>
      </c>
      <c r="Q249" s="4" t="s">
        <v>26</v>
      </c>
      <c r="R249" s="4">
        <v>0</v>
      </c>
      <c r="S249" s="4" t="s">
        <v>245</v>
      </c>
      <c r="T249" s="4" t="s">
        <v>434</v>
      </c>
      <c r="U249" s="4">
        <v>0</v>
      </c>
      <c r="V249" s="4">
        <v>52</v>
      </c>
      <c r="W249" s="4">
        <v>9</v>
      </c>
    </row>
    <row r="250" spans="1:23" ht="11.25" customHeight="1" x14ac:dyDescent="0.3">
      <c r="A250" s="4" t="s">
        <v>28</v>
      </c>
      <c r="B250" s="4" t="s">
        <v>43</v>
      </c>
      <c r="C250" s="4" t="s">
        <v>23</v>
      </c>
      <c r="D250" s="4" t="s">
        <v>44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44531</v>
      </c>
      <c r="J250" s="6">
        <v>0</v>
      </c>
      <c r="K250" s="6">
        <v>0</v>
      </c>
      <c r="L250" s="6">
        <v>20.591999999999999</v>
      </c>
      <c r="M250" s="6">
        <v>20.591999999999999</v>
      </c>
      <c r="N250" s="6">
        <v>20.591999999999999</v>
      </c>
      <c r="O250" s="6">
        <v>20.591999999999999</v>
      </c>
      <c r="P250" s="6">
        <v>113</v>
      </c>
      <c r="Q250" s="4" t="s">
        <v>26</v>
      </c>
      <c r="R250" s="4">
        <v>0</v>
      </c>
      <c r="S250" s="4" t="s">
        <v>245</v>
      </c>
      <c r="T250" s="4" t="s">
        <v>434</v>
      </c>
      <c r="U250" s="4">
        <v>0</v>
      </c>
      <c r="V250" s="4">
        <v>52</v>
      </c>
      <c r="W250" s="4">
        <v>9</v>
      </c>
    </row>
    <row r="251" spans="1:23" ht="11.25" customHeight="1" x14ac:dyDescent="0.3">
      <c r="A251" s="4" t="s">
        <v>21</v>
      </c>
      <c r="B251" s="4" t="s">
        <v>43</v>
      </c>
      <c r="C251" s="4" t="s">
        <v>23</v>
      </c>
      <c r="D251" s="4" t="s">
        <v>44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44562</v>
      </c>
      <c r="J251" s="6">
        <v>0</v>
      </c>
      <c r="K251" s="6">
        <v>0</v>
      </c>
      <c r="L251" s="6">
        <v>2243.922</v>
      </c>
      <c r="M251" s="6">
        <v>2243.922</v>
      </c>
      <c r="N251" s="6">
        <v>2243.922</v>
      </c>
      <c r="O251" s="6">
        <v>2243.922</v>
      </c>
      <c r="P251" s="6">
        <v>5706</v>
      </c>
      <c r="Q251" s="4" t="s">
        <v>26</v>
      </c>
      <c r="R251" s="4">
        <v>0</v>
      </c>
      <c r="S251" s="4" t="s">
        <v>246</v>
      </c>
      <c r="T251" s="4" t="s">
        <v>435</v>
      </c>
      <c r="U251" s="4">
        <v>0</v>
      </c>
      <c r="V251" s="4">
        <v>52</v>
      </c>
      <c r="W251" s="4">
        <v>9</v>
      </c>
    </row>
    <row r="252" spans="1:23" ht="11.25" customHeight="1" x14ac:dyDescent="0.3">
      <c r="A252" s="4" t="s">
        <v>27</v>
      </c>
      <c r="B252" s="4" t="s">
        <v>43</v>
      </c>
      <c r="C252" s="4" t="s">
        <v>23</v>
      </c>
      <c r="D252" s="4" t="s">
        <v>44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44562</v>
      </c>
      <c r="J252" s="6">
        <v>0</v>
      </c>
      <c r="K252" s="6">
        <v>0</v>
      </c>
      <c r="L252" s="6">
        <v>-2.4689999999999999</v>
      </c>
      <c r="M252" s="6">
        <v>-2.4689999999999999</v>
      </c>
      <c r="N252" s="6">
        <v>-2.4689999999999999</v>
      </c>
      <c r="O252" s="6">
        <v>-2.4689999999999999</v>
      </c>
      <c r="P252" s="6">
        <v>0</v>
      </c>
      <c r="Q252" s="4" t="s">
        <v>26</v>
      </c>
      <c r="R252" s="4">
        <v>0</v>
      </c>
      <c r="S252" s="4" t="s">
        <v>246</v>
      </c>
      <c r="T252" s="4" t="s">
        <v>435</v>
      </c>
      <c r="U252" s="4">
        <v>0</v>
      </c>
      <c r="V252" s="4">
        <v>52</v>
      </c>
      <c r="W252" s="4">
        <v>9</v>
      </c>
    </row>
    <row r="253" spans="1:23" ht="11.25" customHeight="1" x14ac:dyDescent="0.3">
      <c r="A253" s="4" t="s">
        <v>28</v>
      </c>
      <c r="B253" s="4" t="s">
        <v>43</v>
      </c>
      <c r="C253" s="4" t="s">
        <v>23</v>
      </c>
      <c r="D253" s="4" t="s">
        <v>44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44562</v>
      </c>
      <c r="J253" s="6">
        <v>0</v>
      </c>
      <c r="K253" s="6">
        <v>0</v>
      </c>
      <c r="L253" s="6">
        <v>28.690999999999999</v>
      </c>
      <c r="M253" s="6">
        <v>28.690999999999999</v>
      </c>
      <c r="N253" s="6">
        <v>28.690999999999999</v>
      </c>
      <c r="O253" s="6">
        <v>28.690999999999999</v>
      </c>
      <c r="P253" s="6">
        <v>120</v>
      </c>
      <c r="Q253" s="4" t="s">
        <v>26</v>
      </c>
      <c r="R253" s="4">
        <v>0</v>
      </c>
      <c r="S253" s="4" t="s">
        <v>246</v>
      </c>
      <c r="T253" s="4" t="s">
        <v>435</v>
      </c>
      <c r="U253" s="4">
        <v>0</v>
      </c>
      <c r="V253" s="4">
        <v>52</v>
      </c>
      <c r="W253" s="4">
        <v>9</v>
      </c>
    </row>
    <row r="254" spans="1:23" ht="11.25" customHeight="1" x14ac:dyDescent="0.3">
      <c r="A254" s="4" t="s">
        <v>21</v>
      </c>
      <c r="B254" s="4" t="s">
        <v>43</v>
      </c>
      <c r="C254" s="4" t="s">
        <v>23</v>
      </c>
      <c r="D254" s="4" t="s">
        <v>44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44593</v>
      </c>
      <c r="J254" s="6">
        <v>0</v>
      </c>
      <c r="K254" s="6">
        <v>0</v>
      </c>
      <c r="L254" s="6">
        <v>2134.567</v>
      </c>
      <c r="M254" s="6">
        <v>2134.567</v>
      </c>
      <c r="N254" s="6">
        <v>2134.567</v>
      </c>
      <c r="O254" s="6">
        <v>2134.567</v>
      </c>
      <c r="P254" s="6">
        <v>5678</v>
      </c>
      <c r="Q254" s="4" t="s">
        <v>26</v>
      </c>
      <c r="R254" s="4">
        <v>0</v>
      </c>
      <c r="S254" s="4" t="s">
        <v>247</v>
      </c>
      <c r="T254" s="4" t="s">
        <v>436</v>
      </c>
      <c r="U254" s="4">
        <v>0</v>
      </c>
      <c r="V254" s="4">
        <v>52</v>
      </c>
      <c r="W254" s="4">
        <v>9</v>
      </c>
    </row>
    <row r="255" spans="1:23" ht="11.25" customHeight="1" x14ac:dyDescent="0.3">
      <c r="A255" s="4" t="s">
        <v>27</v>
      </c>
      <c r="B255" s="4" t="s">
        <v>43</v>
      </c>
      <c r="C255" s="4" t="s">
        <v>23</v>
      </c>
      <c r="D255" s="4" t="s">
        <v>44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44593</v>
      </c>
      <c r="J255" s="6">
        <v>0</v>
      </c>
      <c r="K255" s="6">
        <v>0</v>
      </c>
      <c r="L255" s="6">
        <v>-2.1890000000000001</v>
      </c>
      <c r="M255" s="6">
        <v>-2.1890000000000001</v>
      </c>
      <c r="N255" s="6">
        <v>-2.1890000000000001</v>
      </c>
      <c r="O255" s="6">
        <v>-2.1890000000000001</v>
      </c>
      <c r="P255" s="6">
        <v>0</v>
      </c>
      <c r="Q255" s="4" t="s">
        <v>26</v>
      </c>
      <c r="R255" s="4">
        <v>0</v>
      </c>
      <c r="S255" s="4" t="s">
        <v>247</v>
      </c>
      <c r="T255" s="4" t="s">
        <v>436</v>
      </c>
      <c r="U255" s="4">
        <v>0</v>
      </c>
      <c r="V255" s="4">
        <v>52</v>
      </c>
      <c r="W255" s="4">
        <v>9</v>
      </c>
    </row>
    <row r="256" spans="1:23" ht="11.25" customHeight="1" x14ac:dyDescent="0.3">
      <c r="A256" s="4" t="s">
        <v>28</v>
      </c>
      <c r="B256" s="4" t="s">
        <v>43</v>
      </c>
      <c r="C256" s="4" t="s">
        <v>23</v>
      </c>
      <c r="D256" s="4" t="s">
        <v>44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44593</v>
      </c>
      <c r="J256" s="6">
        <v>0</v>
      </c>
      <c r="K256" s="6">
        <v>0</v>
      </c>
      <c r="L256" s="6">
        <v>45.225999999999999</v>
      </c>
      <c r="M256" s="6">
        <v>45.225999999999999</v>
      </c>
      <c r="N256" s="6">
        <v>45.225999999999999</v>
      </c>
      <c r="O256" s="6">
        <v>45.225999999999999</v>
      </c>
      <c r="P256" s="6">
        <v>135</v>
      </c>
      <c r="Q256" s="4" t="s">
        <v>26</v>
      </c>
      <c r="R256" s="4">
        <v>0</v>
      </c>
      <c r="S256" s="4" t="s">
        <v>247</v>
      </c>
      <c r="T256" s="4" t="s">
        <v>436</v>
      </c>
      <c r="U256" s="4">
        <v>0</v>
      </c>
      <c r="V256" s="4">
        <v>52</v>
      </c>
      <c r="W256" s="4">
        <v>9</v>
      </c>
    </row>
    <row r="257" spans="1:23" ht="11.25" customHeight="1" x14ac:dyDescent="0.3">
      <c r="A257" s="4" t="s">
        <v>28</v>
      </c>
      <c r="B257" s="4" t="s">
        <v>43</v>
      </c>
      <c r="C257" s="4" t="s">
        <v>23</v>
      </c>
      <c r="D257" s="4" t="s">
        <v>44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44593</v>
      </c>
      <c r="J257" s="6">
        <v>0</v>
      </c>
      <c r="K257" s="6">
        <v>0</v>
      </c>
      <c r="L257" s="6">
        <v>-2.0179999999999998</v>
      </c>
      <c r="M257" s="6">
        <v>-2.0179999999999998</v>
      </c>
      <c r="N257" s="6">
        <v>-2.0179999999999998</v>
      </c>
      <c r="O257" s="6">
        <v>-2.0179999999999998</v>
      </c>
      <c r="P257" s="6">
        <v>2</v>
      </c>
      <c r="Q257" s="4" t="s">
        <v>26</v>
      </c>
      <c r="R257" s="4">
        <v>0</v>
      </c>
      <c r="S257" s="4" t="s">
        <v>247</v>
      </c>
      <c r="T257" s="4" t="s">
        <v>436</v>
      </c>
      <c r="U257" s="4">
        <v>0</v>
      </c>
      <c r="V257" s="4">
        <v>52</v>
      </c>
      <c r="W257" s="4">
        <v>9</v>
      </c>
    </row>
    <row r="258" spans="1:23" ht="11.25" customHeight="1" x14ac:dyDescent="0.3">
      <c r="A258" s="4" t="s">
        <v>21</v>
      </c>
      <c r="B258" s="4" t="s">
        <v>43</v>
      </c>
      <c r="C258" s="4" t="s">
        <v>23</v>
      </c>
      <c r="D258" s="4" t="s">
        <v>44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44621</v>
      </c>
      <c r="J258" s="6">
        <v>0</v>
      </c>
      <c r="K258" s="6">
        <v>0</v>
      </c>
      <c r="L258" s="6">
        <v>1703.5640000000001</v>
      </c>
      <c r="M258" s="6">
        <v>1703.5640000000001</v>
      </c>
      <c r="N258" s="6">
        <v>1703.5640000000001</v>
      </c>
      <c r="O258" s="6">
        <v>1703.5640000000001</v>
      </c>
      <c r="P258" s="6">
        <v>5664</v>
      </c>
      <c r="Q258" s="4" t="s">
        <v>26</v>
      </c>
      <c r="R258" s="4">
        <v>0</v>
      </c>
      <c r="S258" s="4" t="s">
        <v>248</v>
      </c>
      <c r="T258" s="4" t="s">
        <v>437</v>
      </c>
      <c r="U258" s="4">
        <v>0</v>
      </c>
      <c r="V258" s="4">
        <v>52</v>
      </c>
      <c r="W258" s="4">
        <v>9</v>
      </c>
    </row>
    <row r="259" spans="1:23" ht="11.25" customHeight="1" x14ac:dyDescent="0.3">
      <c r="A259" s="4" t="s">
        <v>27</v>
      </c>
      <c r="B259" s="4" t="s">
        <v>43</v>
      </c>
      <c r="C259" s="4" t="s">
        <v>23</v>
      </c>
      <c r="D259" s="4" t="s">
        <v>44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44621</v>
      </c>
      <c r="J259" s="6">
        <v>0</v>
      </c>
      <c r="K259" s="6">
        <v>0</v>
      </c>
      <c r="L259" s="6">
        <v>-14.714</v>
      </c>
      <c r="M259" s="6">
        <v>-14.714</v>
      </c>
      <c r="N259" s="6">
        <v>-14.714</v>
      </c>
      <c r="O259" s="6">
        <v>-14.714</v>
      </c>
      <c r="P259" s="6">
        <v>0</v>
      </c>
      <c r="Q259" s="4" t="s">
        <v>26</v>
      </c>
      <c r="R259" s="4">
        <v>0</v>
      </c>
      <c r="S259" s="4" t="s">
        <v>248</v>
      </c>
      <c r="T259" s="4" t="s">
        <v>437</v>
      </c>
      <c r="U259" s="4">
        <v>0</v>
      </c>
      <c r="V259" s="4">
        <v>52</v>
      </c>
      <c r="W259" s="4">
        <v>9</v>
      </c>
    </row>
    <row r="260" spans="1:23" ht="11.25" customHeight="1" x14ac:dyDescent="0.3">
      <c r="A260" s="4" t="s">
        <v>28</v>
      </c>
      <c r="B260" s="4" t="s">
        <v>43</v>
      </c>
      <c r="C260" s="4" t="s">
        <v>23</v>
      </c>
      <c r="D260" s="4" t="s">
        <v>44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44621</v>
      </c>
      <c r="J260" s="6">
        <v>0</v>
      </c>
      <c r="K260" s="6">
        <v>0</v>
      </c>
      <c r="L260" s="6">
        <v>29.56</v>
      </c>
      <c r="M260" s="6">
        <v>29.56</v>
      </c>
      <c r="N260" s="6">
        <v>29.56</v>
      </c>
      <c r="O260" s="6">
        <v>29.56</v>
      </c>
      <c r="P260" s="6">
        <v>140</v>
      </c>
      <c r="Q260" s="4" t="s">
        <v>26</v>
      </c>
      <c r="R260" s="4">
        <v>0</v>
      </c>
      <c r="S260" s="4" t="s">
        <v>248</v>
      </c>
      <c r="T260" s="4" t="s">
        <v>437</v>
      </c>
      <c r="U260" s="4">
        <v>0</v>
      </c>
      <c r="V260" s="4">
        <v>52</v>
      </c>
      <c r="W260" s="4">
        <v>9</v>
      </c>
    </row>
    <row r="261" spans="1:23" ht="11.25" customHeight="1" x14ac:dyDescent="0.3">
      <c r="A261" s="4" t="s">
        <v>21</v>
      </c>
      <c r="B261" s="4" t="s">
        <v>43</v>
      </c>
      <c r="C261" s="4" t="s">
        <v>23</v>
      </c>
      <c r="D261" s="4" t="s">
        <v>44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44652</v>
      </c>
      <c r="J261" s="6">
        <v>0</v>
      </c>
      <c r="K261" s="6">
        <v>0</v>
      </c>
      <c r="L261" s="6">
        <v>1461.453</v>
      </c>
      <c r="M261" s="6">
        <v>1461.453</v>
      </c>
      <c r="N261" s="6">
        <v>1461.453</v>
      </c>
      <c r="O261" s="6">
        <v>1461.453</v>
      </c>
      <c r="P261" s="6">
        <v>5631</v>
      </c>
      <c r="Q261" s="4" t="s">
        <v>26</v>
      </c>
      <c r="R261" s="4">
        <v>0</v>
      </c>
      <c r="S261" s="4" t="s">
        <v>249</v>
      </c>
      <c r="T261" s="4" t="s">
        <v>438</v>
      </c>
      <c r="U261" s="4">
        <v>0</v>
      </c>
      <c r="V261" s="4">
        <v>52</v>
      </c>
      <c r="W261" s="4">
        <v>9</v>
      </c>
    </row>
    <row r="262" spans="1:23" ht="11.25" customHeight="1" x14ac:dyDescent="0.3">
      <c r="A262" s="4" t="s">
        <v>27</v>
      </c>
      <c r="B262" s="4" t="s">
        <v>43</v>
      </c>
      <c r="C262" s="4" t="s">
        <v>23</v>
      </c>
      <c r="D262" s="4" t="s">
        <v>44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44652</v>
      </c>
      <c r="J262" s="6">
        <v>0</v>
      </c>
      <c r="K262" s="6">
        <v>0</v>
      </c>
      <c r="L262" s="6">
        <v>-0.51600000000000001</v>
      </c>
      <c r="M262" s="6">
        <v>-0.51600000000000001</v>
      </c>
      <c r="N262" s="6">
        <v>-0.51600000000000001</v>
      </c>
      <c r="O262" s="6">
        <v>-0.51600000000000001</v>
      </c>
      <c r="P262" s="6">
        <v>0</v>
      </c>
      <c r="Q262" s="4" t="s">
        <v>26</v>
      </c>
      <c r="R262" s="4">
        <v>0</v>
      </c>
      <c r="S262" s="4" t="s">
        <v>249</v>
      </c>
      <c r="T262" s="4" t="s">
        <v>438</v>
      </c>
      <c r="U262" s="4">
        <v>0</v>
      </c>
      <c r="V262" s="4">
        <v>52</v>
      </c>
      <c r="W262" s="4">
        <v>9</v>
      </c>
    </row>
    <row r="263" spans="1:23" ht="11.25" customHeight="1" x14ac:dyDescent="0.3">
      <c r="A263" s="4" t="s">
        <v>28</v>
      </c>
      <c r="B263" s="4" t="s">
        <v>43</v>
      </c>
      <c r="C263" s="4" t="s">
        <v>23</v>
      </c>
      <c r="D263" s="4" t="s">
        <v>44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44652</v>
      </c>
      <c r="J263" s="6">
        <v>0</v>
      </c>
      <c r="K263" s="6">
        <v>0</v>
      </c>
      <c r="L263" s="6">
        <v>30.376999999999999</v>
      </c>
      <c r="M263" s="6">
        <v>30.376999999999999</v>
      </c>
      <c r="N263" s="6">
        <v>30.376999999999999</v>
      </c>
      <c r="O263" s="6">
        <v>30.376999999999999</v>
      </c>
      <c r="P263" s="6">
        <v>160</v>
      </c>
      <c r="Q263" s="4" t="s">
        <v>26</v>
      </c>
      <c r="R263" s="4">
        <v>0</v>
      </c>
      <c r="S263" s="4" t="s">
        <v>249</v>
      </c>
      <c r="T263" s="4" t="s">
        <v>438</v>
      </c>
      <c r="U263" s="4">
        <v>0</v>
      </c>
      <c r="V263" s="4">
        <v>52</v>
      </c>
      <c r="W263" s="4">
        <v>9</v>
      </c>
    </row>
    <row r="264" spans="1:23" ht="11.25" customHeight="1" x14ac:dyDescent="0.3">
      <c r="A264" s="4" t="s">
        <v>28</v>
      </c>
      <c r="B264" s="4" t="s">
        <v>43</v>
      </c>
      <c r="C264" s="4" t="s">
        <v>23</v>
      </c>
      <c r="D264" s="4" t="s">
        <v>44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44652</v>
      </c>
      <c r="J264" s="6">
        <v>0</v>
      </c>
      <c r="K264" s="6">
        <v>0</v>
      </c>
      <c r="L264" s="6">
        <v>12.362</v>
      </c>
      <c r="M264" s="6">
        <v>12.362</v>
      </c>
      <c r="N264" s="6">
        <v>12.362</v>
      </c>
      <c r="O264" s="6">
        <v>12.362</v>
      </c>
      <c r="P264" s="6">
        <v>1</v>
      </c>
      <c r="Q264" s="4" t="s">
        <v>26</v>
      </c>
      <c r="R264" s="4">
        <v>0</v>
      </c>
      <c r="S264" s="4" t="s">
        <v>249</v>
      </c>
      <c r="T264" s="4" t="s">
        <v>438</v>
      </c>
      <c r="U264" s="4">
        <v>0</v>
      </c>
      <c r="V264" s="4">
        <v>52</v>
      </c>
      <c r="W264" s="4">
        <v>9</v>
      </c>
    </row>
    <row r="265" spans="1:23" ht="11.25" customHeight="1" x14ac:dyDescent="0.3">
      <c r="A265" s="4" t="s">
        <v>21</v>
      </c>
      <c r="B265" s="4" t="s">
        <v>43</v>
      </c>
      <c r="C265" s="4" t="s">
        <v>23</v>
      </c>
      <c r="D265" s="4" t="s">
        <v>44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44682</v>
      </c>
      <c r="J265" s="6">
        <v>0</v>
      </c>
      <c r="K265" s="6">
        <v>0</v>
      </c>
      <c r="L265" s="6">
        <v>1347.9069999999999</v>
      </c>
      <c r="M265" s="6">
        <v>1347.9069999999999</v>
      </c>
      <c r="N265" s="6">
        <v>1347.9069999999999</v>
      </c>
      <c r="O265" s="6">
        <v>1347.9069999999999</v>
      </c>
      <c r="P265" s="6">
        <v>5614</v>
      </c>
      <c r="Q265" s="4" t="s">
        <v>26</v>
      </c>
      <c r="R265" s="4">
        <v>0</v>
      </c>
      <c r="S265" s="4" t="s">
        <v>250</v>
      </c>
      <c r="T265" s="4" t="s">
        <v>439</v>
      </c>
      <c r="U265" s="4">
        <v>0</v>
      </c>
      <c r="V265" s="4">
        <v>52</v>
      </c>
      <c r="W265" s="4">
        <v>9</v>
      </c>
    </row>
    <row r="266" spans="1:23" ht="11.25" customHeight="1" x14ac:dyDescent="0.3">
      <c r="A266" s="4" t="s">
        <v>27</v>
      </c>
      <c r="B266" s="4" t="s">
        <v>43</v>
      </c>
      <c r="C266" s="4" t="s">
        <v>23</v>
      </c>
      <c r="D266" s="4" t="s">
        <v>44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44682</v>
      </c>
      <c r="J266" s="6">
        <v>0</v>
      </c>
      <c r="K266" s="6">
        <v>0</v>
      </c>
      <c r="L266" s="6">
        <v>-1.5860000000000001</v>
      </c>
      <c r="M266" s="6">
        <v>-1.5860000000000001</v>
      </c>
      <c r="N266" s="6">
        <v>-1.5860000000000001</v>
      </c>
      <c r="O266" s="6">
        <v>-1.5860000000000001</v>
      </c>
      <c r="P266" s="6">
        <v>0</v>
      </c>
      <c r="Q266" s="4" t="s">
        <v>26</v>
      </c>
      <c r="R266" s="4">
        <v>0</v>
      </c>
      <c r="S266" s="4" t="s">
        <v>250</v>
      </c>
      <c r="T266" s="4" t="s">
        <v>439</v>
      </c>
      <c r="U266" s="4">
        <v>0</v>
      </c>
      <c r="V266" s="4">
        <v>52</v>
      </c>
      <c r="W266" s="4">
        <v>9</v>
      </c>
    </row>
    <row r="267" spans="1:23" ht="11.25" customHeight="1" x14ac:dyDescent="0.3">
      <c r="A267" s="4" t="s">
        <v>28</v>
      </c>
      <c r="B267" s="4" t="s">
        <v>43</v>
      </c>
      <c r="C267" s="4" t="s">
        <v>23</v>
      </c>
      <c r="D267" s="4" t="s">
        <v>44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44682</v>
      </c>
      <c r="J267" s="6">
        <v>0</v>
      </c>
      <c r="K267" s="6">
        <v>0</v>
      </c>
      <c r="L267" s="6">
        <v>46.774999999999999</v>
      </c>
      <c r="M267" s="6">
        <v>46.774999999999999</v>
      </c>
      <c r="N267" s="6">
        <v>46.774999999999999</v>
      </c>
      <c r="O267" s="6">
        <v>46.774999999999999</v>
      </c>
      <c r="P267" s="6">
        <v>170</v>
      </c>
      <c r="Q267" s="4" t="s">
        <v>26</v>
      </c>
      <c r="R267" s="4">
        <v>0</v>
      </c>
      <c r="S267" s="4" t="s">
        <v>250</v>
      </c>
      <c r="T267" s="4" t="s">
        <v>439</v>
      </c>
      <c r="U267" s="4">
        <v>0</v>
      </c>
      <c r="V267" s="4">
        <v>52</v>
      </c>
      <c r="W267" s="4">
        <v>9</v>
      </c>
    </row>
    <row r="268" spans="1:23" ht="11.25" customHeight="1" x14ac:dyDescent="0.3">
      <c r="A268" s="4" t="s">
        <v>28</v>
      </c>
      <c r="B268" s="4" t="s">
        <v>43</v>
      </c>
      <c r="C268" s="4" t="s">
        <v>23</v>
      </c>
      <c r="D268" s="4" t="s">
        <v>44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44682</v>
      </c>
      <c r="J268" s="6">
        <v>0</v>
      </c>
      <c r="K268" s="6">
        <v>0</v>
      </c>
      <c r="L268" s="6">
        <v>15.874000000000001</v>
      </c>
      <c r="M268" s="6">
        <v>15.874000000000001</v>
      </c>
      <c r="N268" s="6">
        <v>15.874000000000001</v>
      </c>
      <c r="O268" s="6">
        <v>15.874000000000001</v>
      </c>
      <c r="P268" s="6">
        <v>7</v>
      </c>
      <c r="Q268" s="4" t="s">
        <v>26</v>
      </c>
      <c r="R268" s="4">
        <v>0</v>
      </c>
      <c r="S268" s="4" t="s">
        <v>250</v>
      </c>
      <c r="T268" s="4" t="s">
        <v>439</v>
      </c>
      <c r="U268" s="4">
        <v>0</v>
      </c>
      <c r="V268" s="4">
        <v>52</v>
      </c>
      <c r="W268" s="4">
        <v>9</v>
      </c>
    </row>
    <row r="269" spans="1:23" ht="11.25" customHeight="1" x14ac:dyDescent="0.3">
      <c r="A269" s="4" t="s">
        <v>21</v>
      </c>
      <c r="B269" s="4" t="s">
        <v>43</v>
      </c>
      <c r="C269" s="4" t="s">
        <v>23</v>
      </c>
      <c r="D269" s="4" t="s">
        <v>44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44713</v>
      </c>
      <c r="J269" s="6">
        <v>0</v>
      </c>
      <c r="K269" s="6">
        <v>0</v>
      </c>
      <c r="L269" s="6">
        <v>1366.492</v>
      </c>
      <c r="M269" s="6">
        <v>1366.492</v>
      </c>
      <c r="N269" s="6">
        <v>1366.492</v>
      </c>
      <c r="O269" s="6">
        <v>1366.492</v>
      </c>
      <c r="P269" s="6">
        <v>5593</v>
      </c>
      <c r="Q269" s="4" t="s">
        <v>26</v>
      </c>
      <c r="R269" s="4">
        <v>0</v>
      </c>
      <c r="S269" s="4" t="s">
        <v>251</v>
      </c>
      <c r="T269" s="4" t="s">
        <v>440</v>
      </c>
      <c r="U269" s="4">
        <v>0</v>
      </c>
      <c r="V269" s="4">
        <v>52</v>
      </c>
      <c r="W269" s="4">
        <v>9</v>
      </c>
    </row>
    <row r="270" spans="1:23" ht="11.25" customHeight="1" x14ac:dyDescent="0.3">
      <c r="A270" s="4" t="s">
        <v>27</v>
      </c>
      <c r="B270" s="4" t="s">
        <v>43</v>
      </c>
      <c r="C270" s="4" t="s">
        <v>23</v>
      </c>
      <c r="D270" s="4" t="s">
        <v>44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44713</v>
      </c>
      <c r="J270" s="6">
        <v>0</v>
      </c>
      <c r="K270" s="6">
        <v>0</v>
      </c>
      <c r="L270" s="6">
        <v>-0.187</v>
      </c>
      <c r="M270" s="6">
        <v>-0.187</v>
      </c>
      <c r="N270" s="6">
        <v>-0.187</v>
      </c>
      <c r="O270" s="6">
        <v>-0.187</v>
      </c>
      <c r="P270" s="6">
        <v>0</v>
      </c>
      <c r="Q270" s="4" t="s">
        <v>26</v>
      </c>
      <c r="R270" s="4">
        <v>0</v>
      </c>
      <c r="S270" s="4" t="s">
        <v>251</v>
      </c>
      <c r="T270" s="4" t="s">
        <v>440</v>
      </c>
      <c r="U270" s="4">
        <v>0</v>
      </c>
      <c r="V270" s="4">
        <v>52</v>
      </c>
      <c r="W270" s="4">
        <v>9</v>
      </c>
    </row>
    <row r="271" spans="1:23" ht="11.25" customHeight="1" x14ac:dyDescent="0.3">
      <c r="A271" s="4" t="s">
        <v>21</v>
      </c>
      <c r="B271" s="4" t="s">
        <v>43</v>
      </c>
      <c r="C271" s="4" t="s">
        <v>23</v>
      </c>
      <c r="D271" s="4" t="s">
        <v>44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44743</v>
      </c>
      <c r="J271" s="6">
        <v>0</v>
      </c>
      <c r="K271" s="6">
        <v>0</v>
      </c>
      <c r="L271" s="6">
        <v>1206.8920000000001</v>
      </c>
      <c r="M271" s="6">
        <v>1206.8920000000001</v>
      </c>
      <c r="N271" s="6">
        <v>1206.8920000000001</v>
      </c>
      <c r="O271" s="6">
        <v>1206.8920000000001</v>
      </c>
      <c r="P271" s="6">
        <v>5577</v>
      </c>
      <c r="Q271" s="4" t="s">
        <v>26</v>
      </c>
      <c r="R271" s="4">
        <v>0</v>
      </c>
      <c r="S271" s="4" t="s">
        <v>252</v>
      </c>
      <c r="T271" s="4" t="s">
        <v>441</v>
      </c>
      <c r="U271" s="4">
        <v>0</v>
      </c>
      <c r="V271" s="4">
        <v>52</v>
      </c>
      <c r="W271" s="4">
        <v>9</v>
      </c>
    </row>
    <row r="272" spans="1:23" ht="11.25" customHeight="1" x14ac:dyDescent="0.3">
      <c r="A272" s="4" t="s">
        <v>27</v>
      </c>
      <c r="B272" s="4" t="s">
        <v>43</v>
      </c>
      <c r="C272" s="4" t="s">
        <v>23</v>
      </c>
      <c r="D272" s="4" t="s">
        <v>44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44743</v>
      </c>
      <c r="J272" s="6">
        <v>0</v>
      </c>
      <c r="K272" s="6">
        <v>0</v>
      </c>
      <c r="L272" s="6">
        <v>-0.32800000000000001</v>
      </c>
      <c r="M272" s="6">
        <v>-0.32800000000000001</v>
      </c>
      <c r="N272" s="6">
        <v>-0.32800000000000001</v>
      </c>
      <c r="O272" s="6">
        <v>-0.32800000000000001</v>
      </c>
      <c r="P272" s="6">
        <v>0</v>
      </c>
      <c r="Q272" s="4" t="s">
        <v>26</v>
      </c>
      <c r="R272" s="4">
        <v>0</v>
      </c>
      <c r="S272" s="4" t="s">
        <v>252</v>
      </c>
      <c r="T272" s="4" t="s">
        <v>441</v>
      </c>
      <c r="U272" s="4">
        <v>0</v>
      </c>
      <c r="V272" s="4">
        <v>52</v>
      </c>
      <c r="W272" s="4">
        <v>9</v>
      </c>
    </row>
    <row r="273" spans="1:23" ht="11.25" customHeight="1" x14ac:dyDescent="0.3">
      <c r="A273" s="4" t="s">
        <v>28</v>
      </c>
      <c r="B273" s="4" t="s">
        <v>43</v>
      </c>
      <c r="C273" s="4" t="s">
        <v>23</v>
      </c>
      <c r="D273" s="4" t="s">
        <v>44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44743</v>
      </c>
      <c r="J273" s="6">
        <v>0</v>
      </c>
      <c r="K273" s="6">
        <v>0</v>
      </c>
      <c r="L273" s="6">
        <v>46.091999999999999</v>
      </c>
      <c r="M273" s="6">
        <v>46.091999999999999</v>
      </c>
      <c r="N273" s="6">
        <v>46.091999999999999</v>
      </c>
      <c r="O273" s="6">
        <v>46.091999999999999</v>
      </c>
      <c r="P273" s="6">
        <v>188</v>
      </c>
      <c r="Q273" s="4" t="s">
        <v>26</v>
      </c>
      <c r="R273" s="4">
        <v>0</v>
      </c>
      <c r="S273" s="4" t="s">
        <v>252</v>
      </c>
      <c r="T273" s="4" t="s">
        <v>441</v>
      </c>
      <c r="U273" s="4">
        <v>0</v>
      </c>
      <c r="V273" s="4">
        <v>52</v>
      </c>
      <c r="W273" s="4">
        <v>9</v>
      </c>
    </row>
    <row r="274" spans="1:23" ht="11.25" customHeight="1" x14ac:dyDescent="0.3">
      <c r="A274" s="4" t="s">
        <v>21</v>
      </c>
      <c r="B274" s="4" t="s">
        <v>43</v>
      </c>
      <c r="C274" s="4" t="s">
        <v>23</v>
      </c>
      <c r="D274" s="4" t="s">
        <v>44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44774</v>
      </c>
      <c r="J274" s="6">
        <v>0</v>
      </c>
      <c r="K274" s="6">
        <v>0</v>
      </c>
      <c r="L274" s="6">
        <v>1362.568</v>
      </c>
      <c r="M274" s="6">
        <v>1362.568</v>
      </c>
      <c r="N274" s="6">
        <v>1362.568</v>
      </c>
      <c r="O274" s="6">
        <v>1362.568</v>
      </c>
      <c r="P274" s="6">
        <v>5576</v>
      </c>
      <c r="Q274" s="4" t="s">
        <v>26</v>
      </c>
      <c r="R274" s="4">
        <v>0</v>
      </c>
      <c r="S274" s="4" t="s">
        <v>253</v>
      </c>
      <c r="T274" s="4" t="s">
        <v>442</v>
      </c>
      <c r="U274" s="4">
        <v>0</v>
      </c>
      <c r="V274" s="4">
        <v>52</v>
      </c>
      <c r="W274" s="4">
        <v>9</v>
      </c>
    </row>
    <row r="275" spans="1:23" ht="11.25" customHeight="1" x14ac:dyDescent="0.3">
      <c r="A275" s="4" t="s">
        <v>28</v>
      </c>
      <c r="B275" s="4" t="s">
        <v>43</v>
      </c>
      <c r="C275" s="4" t="s">
        <v>23</v>
      </c>
      <c r="D275" s="4" t="s">
        <v>44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44774</v>
      </c>
      <c r="J275" s="6">
        <v>0</v>
      </c>
      <c r="K275" s="6">
        <v>0</v>
      </c>
      <c r="L275" s="6">
        <v>39.896999999999998</v>
      </c>
      <c r="M275" s="6">
        <v>39.896999999999998</v>
      </c>
      <c r="N275" s="6">
        <v>39.896999999999998</v>
      </c>
      <c r="O275" s="6">
        <v>39.896999999999998</v>
      </c>
      <c r="P275" s="6">
        <v>189</v>
      </c>
      <c r="Q275" s="4" t="s">
        <v>26</v>
      </c>
      <c r="R275" s="4">
        <v>0</v>
      </c>
      <c r="S275" s="4" t="s">
        <v>253</v>
      </c>
      <c r="T275" s="4" t="s">
        <v>442</v>
      </c>
      <c r="U275" s="4">
        <v>0</v>
      </c>
      <c r="V275" s="4">
        <v>52</v>
      </c>
      <c r="W275" s="4">
        <v>9</v>
      </c>
    </row>
    <row r="276" spans="1:23" ht="11.25" customHeight="1" x14ac:dyDescent="0.3">
      <c r="A276" s="4" t="s">
        <v>21</v>
      </c>
      <c r="B276" s="4" t="s">
        <v>35</v>
      </c>
      <c r="C276" s="4" t="s">
        <v>33</v>
      </c>
      <c r="D276" s="4" t="s">
        <v>40</v>
      </c>
      <c r="E276" s="4" t="s">
        <v>25</v>
      </c>
      <c r="F276" s="4" t="s">
        <v>25</v>
      </c>
      <c r="G276" s="4" t="s">
        <v>25</v>
      </c>
      <c r="H276" s="4" t="s">
        <v>34</v>
      </c>
      <c r="I276" s="5">
        <v>44440</v>
      </c>
      <c r="J276" s="6">
        <v>0</v>
      </c>
      <c r="K276" s="6">
        <v>0</v>
      </c>
      <c r="L276" s="6">
        <v>1.038</v>
      </c>
      <c r="M276" s="6">
        <v>1.038</v>
      </c>
      <c r="N276" s="6">
        <v>1.038</v>
      </c>
      <c r="O276" s="6">
        <v>1.038</v>
      </c>
      <c r="P276" s="6">
        <v>0</v>
      </c>
      <c r="Q276" s="4" t="s">
        <v>26</v>
      </c>
      <c r="R276" s="4">
        <v>0</v>
      </c>
      <c r="S276" s="4" t="s">
        <v>254</v>
      </c>
      <c r="T276" s="4" t="s">
        <v>443</v>
      </c>
      <c r="U276" s="4">
        <v>0</v>
      </c>
      <c r="V276" s="4">
        <v>66</v>
      </c>
      <c r="W276" s="4">
        <v>37</v>
      </c>
    </row>
    <row r="277" spans="1:23" ht="11.25" customHeight="1" x14ac:dyDescent="0.3">
      <c r="A277" s="4" t="s">
        <v>21</v>
      </c>
      <c r="B277" s="4" t="s">
        <v>35</v>
      </c>
      <c r="C277" s="4" t="s">
        <v>33</v>
      </c>
      <c r="D277" s="4" t="s">
        <v>40</v>
      </c>
      <c r="E277" s="4" t="s">
        <v>25</v>
      </c>
      <c r="F277" s="4" t="s">
        <v>25</v>
      </c>
      <c r="G277" s="4" t="s">
        <v>25</v>
      </c>
      <c r="H277" s="4" t="s">
        <v>34</v>
      </c>
      <c r="I277" s="5">
        <v>44470</v>
      </c>
      <c r="J277" s="6">
        <v>0</v>
      </c>
      <c r="K277" s="6">
        <v>0</v>
      </c>
      <c r="L277" s="6">
        <v>0.97599999999999998</v>
      </c>
      <c r="M277" s="6">
        <v>0.97599999999999998</v>
      </c>
      <c r="N277" s="6">
        <v>0.97599999999999998</v>
      </c>
      <c r="O277" s="6">
        <v>0.97599999999999998</v>
      </c>
      <c r="P277" s="6">
        <v>0</v>
      </c>
      <c r="Q277" s="4" t="s">
        <v>26</v>
      </c>
      <c r="R277" s="4">
        <v>0</v>
      </c>
      <c r="S277" s="4" t="s">
        <v>255</v>
      </c>
      <c r="T277" s="4" t="s">
        <v>444</v>
      </c>
      <c r="U277" s="4">
        <v>0</v>
      </c>
      <c r="V277" s="4">
        <v>66</v>
      </c>
      <c r="W277" s="4">
        <v>37</v>
      </c>
    </row>
    <row r="278" spans="1:23" ht="11.25" customHeight="1" x14ac:dyDescent="0.3">
      <c r="A278" s="4" t="s">
        <v>21</v>
      </c>
      <c r="B278" s="4" t="s">
        <v>35</v>
      </c>
      <c r="C278" s="4" t="s">
        <v>33</v>
      </c>
      <c r="D278" s="4" t="s">
        <v>40</v>
      </c>
      <c r="E278" s="4" t="s">
        <v>25</v>
      </c>
      <c r="F278" s="4" t="s">
        <v>25</v>
      </c>
      <c r="G278" s="4" t="s">
        <v>25</v>
      </c>
      <c r="H278" s="4" t="s">
        <v>34</v>
      </c>
      <c r="I278" s="5">
        <v>44501</v>
      </c>
      <c r="J278" s="6">
        <v>0</v>
      </c>
      <c r="K278" s="6">
        <v>0</v>
      </c>
      <c r="L278" s="6">
        <v>0.91500000000000004</v>
      </c>
      <c r="M278" s="6">
        <v>0.91500000000000004</v>
      </c>
      <c r="N278" s="6">
        <v>0.91500000000000004</v>
      </c>
      <c r="O278" s="6">
        <v>0.91500000000000004</v>
      </c>
      <c r="P278" s="6">
        <v>0</v>
      </c>
      <c r="Q278" s="4" t="s">
        <v>26</v>
      </c>
      <c r="R278" s="4">
        <v>0</v>
      </c>
      <c r="S278" s="4" t="s">
        <v>256</v>
      </c>
      <c r="T278" s="4" t="s">
        <v>445</v>
      </c>
      <c r="U278" s="4">
        <v>0</v>
      </c>
      <c r="V278" s="4">
        <v>66</v>
      </c>
      <c r="W278" s="4">
        <v>37</v>
      </c>
    </row>
    <row r="279" spans="1:23" ht="11.25" customHeight="1" x14ac:dyDescent="0.3">
      <c r="A279" s="4" t="s">
        <v>21</v>
      </c>
      <c r="B279" s="4" t="s">
        <v>35</v>
      </c>
      <c r="C279" s="4" t="s">
        <v>33</v>
      </c>
      <c r="D279" s="4" t="s">
        <v>40</v>
      </c>
      <c r="E279" s="4" t="s">
        <v>25</v>
      </c>
      <c r="F279" s="4" t="s">
        <v>25</v>
      </c>
      <c r="G279" s="4" t="s">
        <v>25</v>
      </c>
      <c r="H279" s="4" t="s">
        <v>34</v>
      </c>
      <c r="I279" s="5">
        <v>44531</v>
      </c>
      <c r="J279" s="6">
        <v>0</v>
      </c>
      <c r="K279" s="6">
        <v>0</v>
      </c>
      <c r="L279" s="6">
        <v>0.84399999999999997</v>
      </c>
      <c r="M279" s="6">
        <v>0.84399999999999997</v>
      </c>
      <c r="N279" s="6">
        <v>0.84399999999999997</v>
      </c>
      <c r="O279" s="6">
        <v>0.84399999999999997</v>
      </c>
      <c r="P279" s="6">
        <v>0</v>
      </c>
      <c r="Q279" s="4" t="s">
        <v>26</v>
      </c>
      <c r="R279" s="4">
        <v>0</v>
      </c>
      <c r="S279" s="4" t="s">
        <v>257</v>
      </c>
      <c r="T279" s="4" t="s">
        <v>446</v>
      </c>
      <c r="U279" s="4">
        <v>0</v>
      </c>
      <c r="V279" s="4">
        <v>66</v>
      </c>
      <c r="W279" s="4">
        <v>37</v>
      </c>
    </row>
    <row r="280" spans="1:23" ht="11.25" customHeight="1" x14ac:dyDescent="0.3">
      <c r="A280" s="4" t="s">
        <v>21</v>
      </c>
      <c r="B280" s="4" t="s">
        <v>35</v>
      </c>
      <c r="C280" s="4" t="s">
        <v>33</v>
      </c>
      <c r="D280" s="4" t="s">
        <v>40</v>
      </c>
      <c r="E280" s="4" t="s">
        <v>25</v>
      </c>
      <c r="F280" s="4" t="s">
        <v>25</v>
      </c>
      <c r="G280" s="4" t="s">
        <v>25</v>
      </c>
      <c r="H280" s="4" t="s">
        <v>34</v>
      </c>
      <c r="I280" s="5">
        <v>44562</v>
      </c>
      <c r="J280" s="6">
        <v>0</v>
      </c>
      <c r="K280" s="6">
        <v>0</v>
      </c>
      <c r="L280" s="6">
        <v>1.236</v>
      </c>
      <c r="M280" s="6">
        <v>1.236</v>
      </c>
      <c r="N280" s="6">
        <v>1.236</v>
      </c>
      <c r="O280" s="6">
        <v>1.236</v>
      </c>
      <c r="P280" s="6">
        <v>0</v>
      </c>
      <c r="Q280" s="4" t="s">
        <v>26</v>
      </c>
      <c r="R280" s="4">
        <v>0</v>
      </c>
      <c r="S280" s="4" t="s">
        <v>258</v>
      </c>
      <c r="T280" s="4" t="s">
        <v>447</v>
      </c>
      <c r="U280" s="4">
        <v>0</v>
      </c>
      <c r="V280" s="4">
        <v>66</v>
      </c>
      <c r="W280" s="4">
        <v>37</v>
      </c>
    </row>
    <row r="281" spans="1:23" ht="11.25" customHeight="1" x14ac:dyDescent="0.3">
      <c r="A281" s="4" t="s">
        <v>21</v>
      </c>
      <c r="B281" s="4" t="s">
        <v>35</v>
      </c>
      <c r="C281" s="4" t="s">
        <v>33</v>
      </c>
      <c r="D281" s="4" t="s">
        <v>40</v>
      </c>
      <c r="E281" s="4" t="s">
        <v>25</v>
      </c>
      <c r="F281" s="4" t="s">
        <v>25</v>
      </c>
      <c r="G281" s="4" t="s">
        <v>25</v>
      </c>
      <c r="H281" s="4" t="s">
        <v>34</v>
      </c>
      <c r="I281" s="5">
        <v>44593</v>
      </c>
      <c r="J281" s="6">
        <v>0</v>
      </c>
      <c r="K281" s="6">
        <v>0</v>
      </c>
      <c r="L281" s="6">
        <v>1.349</v>
      </c>
      <c r="M281" s="6">
        <v>1.349</v>
      </c>
      <c r="N281" s="6">
        <v>1.349</v>
      </c>
      <c r="O281" s="6">
        <v>1.349</v>
      </c>
      <c r="P281" s="6">
        <v>0</v>
      </c>
      <c r="Q281" s="4" t="s">
        <v>26</v>
      </c>
      <c r="R281" s="4">
        <v>0</v>
      </c>
      <c r="S281" s="4" t="s">
        <v>259</v>
      </c>
      <c r="T281" s="4" t="s">
        <v>448</v>
      </c>
      <c r="U281" s="4">
        <v>0</v>
      </c>
      <c r="V281" s="4">
        <v>66</v>
      </c>
      <c r="W281" s="4">
        <v>37</v>
      </c>
    </row>
    <row r="282" spans="1:23" ht="11.25" customHeight="1" x14ac:dyDescent="0.3">
      <c r="A282" s="4" t="s">
        <v>21</v>
      </c>
      <c r="B282" s="4" t="s">
        <v>35</v>
      </c>
      <c r="C282" s="4" t="s">
        <v>33</v>
      </c>
      <c r="D282" s="4" t="s">
        <v>40</v>
      </c>
      <c r="E282" s="4" t="s">
        <v>25</v>
      </c>
      <c r="F282" s="4" t="s">
        <v>25</v>
      </c>
      <c r="G282" s="4" t="s">
        <v>25</v>
      </c>
      <c r="H282" s="4" t="s">
        <v>34</v>
      </c>
      <c r="I282" s="5">
        <v>44621</v>
      </c>
      <c r="J282" s="6">
        <v>0</v>
      </c>
      <c r="K282" s="6">
        <v>0</v>
      </c>
      <c r="L282" s="6">
        <v>0.12</v>
      </c>
      <c r="M282" s="6">
        <v>0.12</v>
      </c>
      <c r="N282" s="6">
        <v>0.12</v>
      </c>
      <c r="O282" s="6">
        <v>0.12</v>
      </c>
      <c r="P282" s="6">
        <v>0</v>
      </c>
      <c r="Q282" s="4" t="s">
        <v>26</v>
      </c>
      <c r="R282" s="4">
        <v>0</v>
      </c>
      <c r="S282" s="4" t="s">
        <v>260</v>
      </c>
      <c r="T282" s="4" t="s">
        <v>449</v>
      </c>
      <c r="U282" s="4">
        <v>0</v>
      </c>
      <c r="V282" s="4">
        <v>66</v>
      </c>
      <c r="W282" s="4">
        <v>37</v>
      </c>
    </row>
    <row r="283" spans="1:23" ht="11.25" customHeight="1" x14ac:dyDescent="0.3">
      <c r="A283" s="4" t="s">
        <v>21</v>
      </c>
      <c r="B283" s="4" t="s">
        <v>35</v>
      </c>
      <c r="C283" s="4" t="s">
        <v>33</v>
      </c>
      <c r="D283" s="4" t="s">
        <v>40</v>
      </c>
      <c r="E283" s="4" t="s">
        <v>25</v>
      </c>
      <c r="F283" s="4" t="s">
        <v>25</v>
      </c>
      <c r="G283" s="4" t="s">
        <v>25</v>
      </c>
      <c r="H283" s="4" t="s">
        <v>42</v>
      </c>
      <c r="I283" s="5">
        <v>44440</v>
      </c>
      <c r="J283" s="6">
        <v>0</v>
      </c>
      <c r="K283" s="6">
        <v>0</v>
      </c>
      <c r="L283" s="6">
        <v>6.9000000000000006E-2</v>
      </c>
      <c r="M283" s="6">
        <v>6.9000000000000006E-2</v>
      </c>
      <c r="N283" s="6">
        <v>6.9000000000000006E-2</v>
      </c>
      <c r="O283" s="6">
        <v>6.9000000000000006E-2</v>
      </c>
      <c r="P283" s="6">
        <v>0</v>
      </c>
      <c r="Q283" s="4" t="s">
        <v>26</v>
      </c>
      <c r="R283" s="4">
        <v>0</v>
      </c>
      <c r="S283" s="4" t="s">
        <v>261</v>
      </c>
      <c r="T283" s="4" t="s">
        <v>450</v>
      </c>
      <c r="U283" s="4">
        <v>0</v>
      </c>
      <c r="V283" s="4">
        <v>65</v>
      </c>
      <c r="W283" s="4">
        <v>35</v>
      </c>
    </row>
    <row r="284" spans="1:23" ht="11.25" customHeight="1" x14ac:dyDescent="0.3">
      <c r="A284" s="4" t="s">
        <v>21</v>
      </c>
      <c r="B284" s="4" t="s">
        <v>35</v>
      </c>
      <c r="C284" s="4" t="s">
        <v>33</v>
      </c>
      <c r="D284" s="4" t="s">
        <v>40</v>
      </c>
      <c r="E284" s="4" t="s">
        <v>25</v>
      </c>
      <c r="F284" s="4" t="s">
        <v>25</v>
      </c>
      <c r="G284" s="4" t="s">
        <v>25</v>
      </c>
      <c r="H284" s="4" t="s">
        <v>42</v>
      </c>
      <c r="I284" s="5">
        <v>44470</v>
      </c>
      <c r="J284" s="6">
        <v>0</v>
      </c>
      <c r="K284" s="6">
        <v>0</v>
      </c>
      <c r="L284" s="6">
        <v>7.0999999999999994E-2</v>
      </c>
      <c r="M284" s="6">
        <v>7.0999999999999994E-2</v>
      </c>
      <c r="N284" s="6">
        <v>7.0999999999999994E-2</v>
      </c>
      <c r="O284" s="6">
        <v>7.0999999999999994E-2</v>
      </c>
      <c r="P284" s="6">
        <v>0</v>
      </c>
      <c r="Q284" s="4" t="s">
        <v>26</v>
      </c>
      <c r="R284" s="4">
        <v>0</v>
      </c>
      <c r="S284" s="4" t="s">
        <v>262</v>
      </c>
      <c r="T284" s="4" t="s">
        <v>451</v>
      </c>
      <c r="U284" s="4">
        <v>0</v>
      </c>
      <c r="V284" s="4">
        <v>65</v>
      </c>
      <c r="W284" s="4">
        <v>35</v>
      </c>
    </row>
    <row r="285" spans="1:23" ht="11.25" customHeight="1" x14ac:dyDescent="0.3">
      <c r="A285" s="4" t="s">
        <v>21</v>
      </c>
      <c r="B285" s="4" t="s">
        <v>35</v>
      </c>
      <c r="C285" s="4" t="s">
        <v>33</v>
      </c>
      <c r="D285" s="4" t="s">
        <v>40</v>
      </c>
      <c r="E285" s="4" t="s">
        <v>25</v>
      </c>
      <c r="F285" s="4" t="s">
        <v>25</v>
      </c>
      <c r="G285" s="4" t="s">
        <v>25</v>
      </c>
      <c r="H285" s="4" t="s">
        <v>42</v>
      </c>
      <c r="I285" s="5">
        <v>44501</v>
      </c>
      <c r="J285" s="6">
        <v>0</v>
      </c>
      <c r="K285" s="6">
        <v>0</v>
      </c>
      <c r="L285" s="6">
        <v>6.7000000000000004E-2</v>
      </c>
      <c r="M285" s="6">
        <v>6.7000000000000004E-2</v>
      </c>
      <c r="N285" s="6">
        <v>6.7000000000000004E-2</v>
      </c>
      <c r="O285" s="6">
        <v>6.7000000000000004E-2</v>
      </c>
      <c r="P285" s="6">
        <v>0</v>
      </c>
      <c r="Q285" s="4" t="s">
        <v>26</v>
      </c>
      <c r="R285" s="4">
        <v>0</v>
      </c>
      <c r="S285" s="4" t="s">
        <v>263</v>
      </c>
      <c r="T285" s="4" t="s">
        <v>452</v>
      </c>
      <c r="U285" s="4">
        <v>0</v>
      </c>
      <c r="V285" s="4">
        <v>65</v>
      </c>
      <c r="W285" s="4">
        <v>35</v>
      </c>
    </row>
    <row r="286" spans="1:23" ht="11.25" customHeight="1" x14ac:dyDescent="0.3">
      <c r="A286" s="4" t="s">
        <v>21</v>
      </c>
      <c r="B286" s="4" t="s">
        <v>35</v>
      </c>
      <c r="C286" s="4" t="s">
        <v>33</v>
      </c>
      <c r="D286" s="4" t="s">
        <v>40</v>
      </c>
      <c r="E286" s="4" t="s">
        <v>25</v>
      </c>
      <c r="F286" s="4" t="s">
        <v>25</v>
      </c>
      <c r="G286" s="4" t="s">
        <v>25</v>
      </c>
      <c r="H286" s="4" t="s">
        <v>42</v>
      </c>
      <c r="I286" s="5">
        <v>44531</v>
      </c>
      <c r="J286" s="6">
        <v>0</v>
      </c>
      <c r="K286" s="6">
        <v>0</v>
      </c>
      <c r="L286" s="6">
        <v>5.8000000000000003E-2</v>
      </c>
      <c r="M286" s="6">
        <v>5.8000000000000003E-2</v>
      </c>
      <c r="N286" s="6">
        <v>5.8000000000000003E-2</v>
      </c>
      <c r="O286" s="6">
        <v>5.8000000000000003E-2</v>
      </c>
      <c r="P286" s="6">
        <v>0</v>
      </c>
      <c r="Q286" s="4" t="s">
        <v>26</v>
      </c>
      <c r="R286" s="4">
        <v>0</v>
      </c>
      <c r="S286" s="4" t="s">
        <v>264</v>
      </c>
      <c r="T286" s="4" t="s">
        <v>453</v>
      </c>
      <c r="U286" s="4">
        <v>0</v>
      </c>
      <c r="V286" s="4">
        <v>65</v>
      </c>
      <c r="W286" s="4">
        <v>35</v>
      </c>
    </row>
    <row r="287" spans="1:23" ht="11.25" customHeight="1" x14ac:dyDescent="0.3">
      <c r="A287" s="4" t="s">
        <v>21</v>
      </c>
      <c r="B287" s="4" t="s">
        <v>35</v>
      </c>
      <c r="C287" s="4" t="s">
        <v>33</v>
      </c>
      <c r="D287" s="4" t="s">
        <v>40</v>
      </c>
      <c r="E287" s="4" t="s">
        <v>25</v>
      </c>
      <c r="F287" s="4" t="s">
        <v>25</v>
      </c>
      <c r="G287" s="4" t="s">
        <v>25</v>
      </c>
      <c r="H287" s="4" t="s">
        <v>42</v>
      </c>
      <c r="I287" s="5">
        <v>44562</v>
      </c>
      <c r="J287" s="6">
        <v>0</v>
      </c>
      <c r="K287" s="6">
        <v>0</v>
      </c>
      <c r="L287" s="6">
        <v>0.09</v>
      </c>
      <c r="M287" s="6">
        <v>0.09</v>
      </c>
      <c r="N287" s="6">
        <v>0.09</v>
      </c>
      <c r="O287" s="6">
        <v>0.09</v>
      </c>
      <c r="P287" s="6">
        <v>0</v>
      </c>
      <c r="Q287" s="4" t="s">
        <v>26</v>
      </c>
      <c r="R287" s="4">
        <v>0</v>
      </c>
      <c r="S287" s="4" t="s">
        <v>265</v>
      </c>
      <c r="T287" s="4" t="s">
        <v>454</v>
      </c>
      <c r="U287" s="4">
        <v>0</v>
      </c>
      <c r="V287" s="4">
        <v>65</v>
      </c>
      <c r="W287" s="4">
        <v>35</v>
      </c>
    </row>
    <row r="288" spans="1:23" ht="11.25" customHeight="1" x14ac:dyDescent="0.3">
      <c r="A288" s="4" t="s">
        <v>21</v>
      </c>
      <c r="B288" s="4" t="s">
        <v>35</v>
      </c>
      <c r="C288" s="4" t="s">
        <v>33</v>
      </c>
      <c r="D288" s="4" t="s">
        <v>40</v>
      </c>
      <c r="E288" s="4" t="s">
        <v>25</v>
      </c>
      <c r="F288" s="4" t="s">
        <v>25</v>
      </c>
      <c r="G288" s="4" t="s">
        <v>25</v>
      </c>
      <c r="H288" s="4" t="s">
        <v>42</v>
      </c>
      <c r="I288" s="5">
        <v>44593</v>
      </c>
      <c r="J288" s="6">
        <v>0</v>
      </c>
      <c r="K288" s="6">
        <v>0</v>
      </c>
      <c r="L288" s="6">
        <v>0.10199999999999999</v>
      </c>
      <c r="M288" s="6">
        <v>0.10199999999999999</v>
      </c>
      <c r="N288" s="6">
        <v>0.10199999999999999</v>
      </c>
      <c r="O288" s="6">
        <v>0.10199999999999999</v>
      </c>
      <c r="P288" s="6">
        <v>0</v>
      </c>
      <c r="Q288" s="4" t="s">
        <v>26</v>
      </c>
      <c r="R288" s="4">
        <v>0</v>
      </c>
      <c r="S288" s="4" t="s">
        <v>266</v>
      </c>
      <c r="T288" s="4" t="s">
        <v>455</v>
      </c>
      <c r="U288" s="4">
        <v>0</v>
      </c>
      <c r="V288" s="4">
        <v>65</v>
      </c>
      <c r="W288" s="4">
        <v>35</v>
      </c>
    </row>
    <row r="289" spans="1:23" ht="11.25" customHeight="1" x14ac:dyDescent="0.3">
      <c r="A289" s="4" t="s">
        <v>21</v>
      </c>
      <c r="B289" s="4" t="s">
        <v>35</v>
      </c>
      <c r="C289" s="4" t="s">
        <v>33</v>
      </c>
      <c r="D289" s="4" t="s">
        <v>40</v>
      </c>
      <c r="E289" s="4" t="s">
        <v>25</v>
      </c>
      <c r="F289" s="4" t="s">
        <v>25</v>
      </c>
      <c r="G289" s="4" t="s">
        <v>25</v>
      </c>
      <c r="H289" s="4" t="s">
        <v>39</v>
      </c>
      <c r="I289" s="5">
        <v>44440</v>
      </c>
      <c r="J289" s="6">
        <v>0</v>
      </c>
      <c r="K289" s="6">
        <v>0</v>
      </c>
      <c r="L289" s="6">
        <v>0.109</v>
      </c>
      <c r="M289" s="6">
        <v>0.109</v>
      </c>
      <c r="N289" s="6">
        <v>0.109</v>
      </c>
      <c r="O289" s="6">
        <v>0.109</v>
      </c>
      <c r="P289" s="6">
        <v>0</v>
      </c>
      <c r="Q289" s="4" t="s">
        <v>26</v>
      </c>
      <c r="R289" s="4">
        <v>0</v>
      </c>
      <c r="S289" s="4" t="s">
        <v>267</v>
      </c>
      <c r="T289" s="4" t="s">
        <v>456</v>
      </c>
      <c r="U289" s="4">
        <v>0</v>
      </c>
      <c r="V289" s="4">
        <v>64</v>
      </c>
      <c r="W289" s="4">
        <v>33</v>
      </c>
    </row>
    <row r="290" spans="1:23" ht="11.25" customHeight="1" x14ac:dyDescent="0.3">
      <c r="A290" s="4" t="s">
        <v>21</v>
      </c>
      <c r="B290" s="4" t="s">
        <v>35</v>
      </c>
      <c r="C290" s="4" t="s">
        <v>33</v>
      </c>
      <c r="D290" s="4" t="s">
        <v>40</v>
      </c>
      <c r="E290" s="4" t="s">
        <v>25</v>
      </c>
      <c r="F290" s="4" t="s">
        <v>25</v>
      </c>
      <c r="G290" s="4" t="s">
        <v>25</v>
      </c>
      <c r="H290" s="4" t="s">
        <v>39</v>
      </c>
      <c r="I290" s="5">
        <v>44470</v>
      </c>
      <c r="J290" s="6">
        <v>0</v>
      </c>
      <c r="K290" s="6">
        <v>0</v>
      </c>
      <c r="L290" s="6">
        <v>0.10100000000000001</v>
      </c>
      <c r="M290" s="6">
        <v>0.10100000000000001</v>
      </c>
      <c r="N290" s="6">
        <v>0.10100000000000001</v>
      </c>
      <c r="O290" s="6">
        <v>0.10100000000000001</v>
      </c>
      <c r="P290" s="6">
        <v>0</v>
      </c>
      <c r="Q290" s="4" t="s">
        <v>26</v>
      </c>
      <c r="R290" s="4">
        <v>0</v>
      </c>
      <c r="S290" s="4" t="s">
        <v>268</v>
      </c>
      <c r="T290" s="4" t="s">
        <v>457</v>
      </c>
      <c r="U290" s="4">
        <v>0</v>
      </c>
      <c r="V290" s="4">
        <v>64</v>
      </c>
      <c r="W290" s="4">
        <v>33</v>
      </c>
    </row>
    <row r="291" spans="1:23" ht="11.25" customHeight="1" x14ac:dyDescent="0.3">
      <c r="A291" s="4" t="s">
        <v>21</v>
      </c>
      <c r="B291" s="4" t="s">
        <v>35</v>
      </c>
      <c r="C291" s="4" t="s">
        <v>33</v>
      </c>
      <c r="D291" s="4" t="s">
        <v>40</v>
      </c>
      <c r="E291" s="4" t="s">
        <v>25</v>
      </c>
      <c r="F291" s="4" t="s">
        <v>25</v>
      </c>
      <c r="G291" s="4" t="s">
        <v>25</v>
      </c>
      <c r="H291" s="4" t="s">
        <v>39</v>
      </c>
      <c r="I291" s="5">
        <v>44501</v>
      </c>
      <c r="J291" s="6">
        <v>0</v>
      </c>
      <c r="K291" s="6">
        <v>0</v>
      </c>
      <c r="L291" s="6">
        <v>0.10299999999999999</v>
      </c>
      <c r="M291" s="6">
        <v>0.10299999999999999</v>
      </c>
      <c r="N291" s="6">
        <v>0.10299999999999999</v>
      </c>
      <c r="O291" s="6">
        <v>0.10299999999999999</v>
      </c>
      <c r="P291" s="6">
        <v>0</v>
      </c>
      <c r="Q291" s="4" t="s">
        <v>26</v>
      </c>
      <c r="R291" s="4">
        <v>0</v>
      </c>
      <c r="S291" s="4" t="s">
        <v>269</v>
      </c>
      <c r="T291" s="4" t="s">
        <v>458</v>
      </c>
      <c r="U291" s="4">
        <v>0</v>
      </c>
      <c r="V291" s="4">
        <v>64</v>
      </c>
      <c r="W291" s="4">
        <v>33</v>
      </c>
    </row>
    <row r="292" spans="1:23" ht="11.25" customHeight="1" x14ac:dyDescent="0.3">
      <c r="A292" s="4" t="s">
        <v>21</v>
      </c>
      <c r="B292" s="4" t="s">
        <v>35</v>
      </c>
      <c r="C292" s="4" t="s">
        <v>33</v>
      </c>
      <c r="D292" s="4" t="s">
        <v>40</v>
      </c>
      <c r="E292" s="4" t="s">
        <v>25</v>
      </c>
      <c r="F292" s="4" t="s">
        <v>25</v>
      </c>
      <c r="G292" s="4" t="s">
        <v>25</v>
      </c>
      <c r="H292" s="4" t="s">
        <v>39</v>
      </c>
      <c r="I292" s="5">
        <v>44531</v>
      </c>
      <c r="J292" s="6">
        <v>0</v>
      </c>
      <c r="K292" s="6">
        <v>0</v>
      </c>
      <c r="L292" s="6">
        <v>9.2999999999999999E-2</v>
      </c>
      <c r="M292" s="6">
        <v>9.2999999999999999E-2</v>
      </c>
      <c r="N292" s="6">
        <v>9.2999999999999999E-2</v>
      </c>
      <c r="O292" s="6">
        <v>9.2999999999999999E-2</v>
      </c>
      <c r="P292" s="6">
        <v>0</v>
      </c>
      <c r="Q292" s="4" t="s">
        <v>26</v>
      </c>
      <c r="R292" s="4">
        <v>0</v>
      </c>
      <c r="S292" s="4" t="s">
        <v>270</v>
      </c>
      <c r="T292" s="4" t="s">
        <v>459</v>
      </c>
      <c r="U292" s="4">
        <v>0</v>
      </c>
      <c r="V292" s="4">
        <v>64</v>
      </c>
      <c r="W292" s="4">
        <v>33</v>
      </c>
    </row>
    <row r="293" spans="1:23" ht="11.25" customHeight="1" x14ac:dyDescent="0.3">
      <c r="A293" s="4" t="s">
        <v>21</v>
      </c>
      <c r="B293" s="4" t="s">
        <v>35</v>
      </c>
      <c r="C293" s="4" t="s">
        <v>33</v>
      </c>
      <c r="D293" s="4" t="s">
        <v>40</v>
      </c>
      <c r="E293" s="4" t="s">
        <v>25</v>
      </c>
      <c r="F293" s="4" t="s">
        <v>25</v>
      </c>
      <c r="G293" s="4" t="s">
        <v>25</v>
      </c>
      <c r="H293" s="4" t="s">
        <v>39</v>
      </c>
      <c r="I293" s="5">
        <v>44562</v>
      </c>
      <c r="J293" s="6">
        <v>0</v>
      </c>
      <c r="K293" s="6">
        <v>0</v>
      </c>
      <c r="L293" s="6">
        <v>0.156</v>
      </c>
      <c r="M293" s="6">
        <v>0.156</v>
      </c>
      <c r="N293" s="6">
        <v>0.156</v>
      </c>
      <c r="O293" s="6">
        <v>0.156</v>
      </c>
      <c r="P293" s="6">
        <v>0</v>
      </c>
      <c r="Q293" s="4" t="s">
        <v>26</v>
      </c>
      <c r="R293" s="4">
        <v>0</v>
      </c>
      <c r="S293" s="4" t="s">
        <v>271</v>
      </c>
      <c r="T293" s="4" t="s">
        <v>460</v>
      </c>
      <c r="U293" s="4">
        <v>0</v>
      </c>
      <c r="V293" s="4">
        <v>64</v>
      </c>
      <c r="W293" s="4">
        <v>33</v>
      </c>
    </row>
    <row r="294" spans="1:23" ht="11.25" customHeight="1" x14ac:dyDescent="0.3">
      <c r="A294" s="4" t="s">
        <v>21</v>
      </c>
      <c r="B294" s="4" t="s">
        <v>35</v>
      </c>
      <c r="C294" s="4" t="s">
        <v>33</v>
      </c>
      <c r="D294" s="4" t="s">
        <v>40</v>
      </c>
      <c r="E294" s="4" t="s">
        <v>25</v>
      </c>
      <c r="F294" s="4" t="s">
        <v>25</v>
      </c>
      <c r="G294" s="4" t="s">
        <v>25</v>
      </c>
      <c r="H294" s="4" t="s">
        <v>39</v>
      </c>
      <c r="I294" s="5">
        <v>44593</v>
      </c>
      <c r="J294" s="6">
        <v>0</v>
      </c>
      <c r="K294" s="6">
        <v>0</v>
      </c>
      <c r="L294" s="6">
        <v>0.184</v>
      </c>
      <c r="M294" s="6">
        <v>0.184</v>
      </c>
      <c r="N294" s="6">
        <v>0.184</v>
      </c>
      <c r="O294" s="6">
        <v>0.184</v>
      </c>
      <c r="P294" s="6">
        <v>0</v>
      </c>
      <c r="Q294" s="4" t="s">
        <v>26</v>
      </c>
      <c r="R294" s="4">
        <v>0</v>
      </c>
      <c r="S294" s="4" t="s">
        <v>272</v>
      </c>
      <c r="T294" s="4" t="s">
        <v>461</v>
      </c>
      <c r="U294" s="4">
        <v>0</v>
      </c>
      <c r="V294" s="4">
        <v>64</v>
      </c>
      <c r="W294" s="4">
        <v>33</v>
      </c>
    </row>
    <row r="295" spans="1:23" ht="11.25" customHeight="1" x14ac:dyDescent="0.3">
      <c r="A295" s="4" t="s">
        <v>21</v>
      </c>
      <c r="B295" s="4" t="s">
        <v>35</v>
      </c>
      <c r="C295" s="4" t="s">
        <v>23</v>
      </c>
      <c r="D295" s="4" t="s">
        <v>40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44440</v>
      </c>
      <c r="J295" s="6">
        <v>0</v>
      </c>
      <c r="K295" s="6">
        <v>0</v>
      </c>
      <c r="L295" s="6">
        <v>141.58799999999999</v>
      </c>
      <c r="M295" s="6">
        <v>141.58799999999999</v>
      </c>
      <c r="N295" s="6">
        <v>141.58799999999999</v>
      </c>
      <c r="O295" s="6">
        <v>141.58799999999999</v>
      </c>
      <c r="P295" s="6">
        <v>365</v>
      </c>
      <c r="Q295" s="4" t="s">
        <v>26</v>
      </c>
      <c r="R295" s="4">
        <v>0</v>
      </c>
      <c r="S295" s="4" t="s">
        <v>273</v>
      </c>
      <c r="T295" s="4" t="s">
        <v>462</v>
      </c>
      <c r="U295" s="4">
        <v>0</v>
      </c>
      <c r="V295" s="4">
        <v>67</v>
      </c>
      <c r="W295" s="4">
        <v>39</v>
      </c>
    </row>
    <row r="296" spans="1:23" ht="11.25" customHeight="1" x14ac:dyDescent="0.3">
      <c r="A296" s="4" t="s">
        <v>28</v>
      </c>
      <c r="B296" s="4" t="s">
        <v>35</v>
      </c>
      <c r="C296" s="4" t="s">
        <v>23</v>
      </c>
      <c r="D296" s="4" t="s">
        <v>40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44440</v>
      </c>
      <c r="J296" s="6">
        <v>0</v>
      </c>
      <c r="K296" s="6">
        <v>0</v>
      </c>
      <c r="L296" s="6">
        <v>6.593</v>
      </c>
      <c r="M296" s="6">
        <v>6.593</v>
      </c>
      <c r="N296" s="6">
        <v>6.593</v>
      </c>
      <c r="O296" s="6">
        <v>6.593</v>
      </c>
      <c r="P296" s="6">
        <v>10</v>
      </c>
      <c r="Q296" s="4" t="s">
        <v>26</v>
      </c>
      <c r="R296" s="4">
        <v>0</v>
      </c>
      <c r="S296" s="4" t="s">
        <v>273</v>
      </c>
      <c r="T296" s="4" t="s">
        <v>462</v>
      </c>
      <c r="U296" s="4">
        <v>0</v>
      </c>
      <c r="V296" s="4">
        <v>67</v>
      </c>
      <c r="W296" s="4">
        <v>39</v>
      </c>
    </row>
    <row r="297" spans="1:23" ht="11.25" customHeight="1" x14ac:dyDescent="0.3">
      <c r="A297" s="4" t="s">
        <v>21</v>
      </c>
      <c r="B297" s="4" t="s">
        <v>35</v>
      </c>
      <c r="C297" s="4" t="s">
        <v>23</v>
      </c>
      <c r="D297" s="4" t="s">
        <v>40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44470</v>
      </c>
      <c r="J297" s="6">
        <v>0</v>
      </c>
      <c r="K297" s="6">
        <v>0</v>
      </c>
      <c r="L297" s="6">
        <v>148.98599999999999</v>
      </c>
      <c r="M297" s="6">
        <v>148.98599999999999</v>
      </c>
      <c r="N297" s="6">
        <v>148.98599999999999</v>
      </c>
      <c r="O297" s="6">
        <v>148.98599999999999</v>
      </c>
      <c r="P297" s="6">
        <v>364</v>
      </c>
      <c r="Q297" s="4" t="s">
        <v>26</v>
      </c>
      <c r="R297" s="4">
        <v>0</v>
      </c>
      <c r="S297" s="4" t="s">
        <v>274</v>
      </c>
      <c r="T297" s="4" t="s">
        <v>463</v>
      </c>
      <c r="U297" s="4">
        <v>0</v>
      </c>
      <c r="V297" s="4">
        <v>67</v>
      </c>
      <c r="W297" s="4">
        <v>39</v>
      </c>
    </row>
    <row r="298" spans="1:23" ht="11.25" customHeight="1" x14ac:dyDescent="0.3">
      <c r="A298" s="4" t="s">
        <v>27</v>
      </c>
      <c r="B298" s="4" t="s">
        <v>35</v>
      </c>
      <c r="C298" s="4" t="s">
        <v>23</v>
      </c>
      <c r="D298" s="4" t="s">
        <v>40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44470</v>
      </c>
      <c r="J298" s="6">
        <v>0</v>
      </c>
      <c r="K298" s="6">
        <v>0</v>
      </c>
      <c r="L298" s="6">
        <v>-4.0990000000000002</v>
      </c>
      <c r="M298" s="6">
        <v>-4.0990000000000002</v>
      </c>
      <c r="N298" s="6">
        <v>-4.0990000000000002</v>
      </c>
      <c r="O298" s="6">
        <v>-4.0990000000000002</v>
      </c>
      <c r="P298" s="6">
        <v>0</v>
      </c>
      <c r="Q298" s="4" t="s">
        <v>26</v>
      </c>
      <c r="R298" s="4">
        <v>0</v>
      </c>
      <c r="S298" s="4" t="s">
        <v>274</v>
      </c>
      <c r="T298" s="4" t="s">
        <v>463</v>
      </c>
      <c r="U298" s="4">
        <v>0</v>
      </c>
      <c r="V298" s="4">
        <v>67</v>
      </c>
      <c r="W298" s="4">
        <v>39</v>
      </c>
    </row>
    <row r="299" spans="1:23" ht="11.25" customHeight="1" x14ac:dyDescent="0.3">
      <c r="A299" s="4" t="s">
        <v>28</v>
      </c>
      <c r="B299" s="4" t="s">
        <v>35</v>
      </c>
      <c r="C299" s="4" t="s">
        <v>23</v>
      </c>
      <c r="D299" s="4" t="s">
        <v>40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44470</v>
      </c>
      <c r="J299" s="6">
        <v>0</v>
      </c>
      <c r="K299" s="6">
        <v>0</v>
      </c>
      <c r="L299" s="6">
        <v>7.1440000000000001</v>
      </c>
      <c r="M299" s="6">
        <v>7.1440000000000001</v>
      </c>
      <c r="N299" s="6">
        <v>7.1440000000000001</v>
      </c>
      <c r="O299" s="6">
        <v>7.1440000000000001</v>
      </c>
      <c r="P299" s="6">
        <v>10</v>
      </c>
      <c r="Q299" s="4" t="s">
        <v>26</v>
      </c>
      <c r="R299" s="4">
        <v>0</v>
      </c>
      <c r="S299" s="4" t="s">
        <v>274</v>
      </c>
      <c r="T299" s="4" t="s">
        <v>463</v>
      </c>
      <c r="U299" s="4">
        <v>0</v>
      </c>
      <c r="V299" s="4">
        <v>67</v>
      </c>
      <c r="W299" s="4">
        <v>39</v>
      </c>
    </row>
    <row r="300" spans="1:23" ht="11.25" customHeight="1" x14ac:dyDescent="0.3">
      <c r="A300" s="4" t="s">
        <v>28</v>
      </c>
      <c r="B300" s="4" t="s">
        <v>35</v>
      </c>
      <c r="C300" s="4" t="s">
        <v>23</v>
      </c>
      <c r="D300" s="4" t="s">
        <v>40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44470</v>
      </c>
      <c r="J300" s="6">
        <v>0</v>
      </c>
      <c r="K300" s="6">
        <v>0</v>
      </c>
      <c r="L300" s="6">
        <v>-0.90400000000000003</v>
      </c>
      <c r="M300" s="6">
        <v>-0.90400000000000003</v>
      </c>
      <c r="N300" s="6">
        <v>-0.90400000000000003</v>
      </c>
      <c r="O300" s="6">
        <v>-0.90400000000000003</v>
      </c>
      <c r="P300" s="6">
        <v>1</v>
      </c>
      <c r="Q300" s="4" t="s">
        <v>26</v>
      </c>
      <c r="R300" s="4">
        <v>0</v>
      </c>
      <c r="S300" s="4" t="s">
        <v>274</v>
      </c>
      <c r="T300" s="4" t="s">
        <v>463</v>
      </c>
      <c r="U300" s="4">
        <v>0</v>
      </c>
      <c r="V300" s="4">
        <v>67</v>
      </c>
      <c r="W300" s="4">
        <v>39</v>
      </c>
    </row>
    <row r="301" spans="1:23" ht="11.25" customHeight="1" x14ac:dyDescent="0.3">
      <c r="A301" s="4" t="s">
        <v>21</v>
      </c>
      <c r="B301" s="4" t="s">
        <v>35</v>
      </c>
      <c r="C301" s="4" t="s">
        <v>23</v>
      </c>
      <c r="D301" s="4" t="s">
        <v>40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44501</v>
      </c>
      <c r="J301" s="6">
        <v>0</v>
      </c>
      <c r="K301" s="6">
        <v>0</v>
      </c>
      <c r="L301" s="6">
        <v>148.084</v>
      </c>
      <c r="M301" s="6">
        <v>148.084</v>
      </c>
      <c r="N301" s="6">
        <v>148.084</v>
      </c>
      <c r="O301" s="6">
        <v>148.084</v>
      </c>
      <c r="P301" s="6">
        <v>368</v>
      </c>
      <c r="Q301" s="4" t="s">
        <v>26</v>
      </c>
      <c r="R301" s="4">
        <v>0</v>
      </c>
      <c r="S301" s="4" t="s">
        <v>275</v>
      </c>
      <c r="T301" s="4" t="s">
        <v>464</v>
      </c>
      <c r="U301" s="4">
        <v>0</v>
      </c>
      <c r="V301" s="4">
        <v>67</v>
      </c>
      <c r="W301" s="4">
        <v>39</v>
      </c>
    </row>
    <row r="302" spans="1:23" ht="11.25" customHeight="1" x14ac:dyDescent="0.3">
      <c r="A302" s="4" t="s">
        <v>28</v>
      </c>
      <c r="B302" s="4" t="s">
        <v>35</v>
      </c>
      <c r="C302" s="4" t="s">
        <v>23</v>
      </c>
      <c r="D302" s="4" t="s">
        <v>40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44501</v>
      </c>
      <c r="J302" s="6">
        <v>0</v>
      </c>
      <c r="K302" s="6">
        <v>0</v>
      </c>
      <c r="L302" s="6">
        <v>4.8929999999999998</v>
      </c>
      <c r="M302" s="6">
        <v>4.8929999999999998</v>
      </c>
      <c r="N302" s="6">
        <v>4.8929999999999998</v>
      </c>
      <c r="O302" s="6">
        <v>4.8929999999999998</v>
      </c>
      <c r="P302" s="6">
        <v>10</v>
      </c>
      <c r="Q302" s="4" t="s">
        <v>26</v>
      </c>
      <c r="R302" s="4">
        <v>0</v>
      </c>
      <c r="S302" s="4" t="s">
        <v>275</v>
      </c>
      <c r="T302" s="4" t="s">
        <v>464</v>
      </c>
      <c r="U302" s="4">
        <v>0</v>
      </c>
      <c r="V302" s="4">
        <v>67</v>
      </c>
      <c r="W302" s="4">
        <v>39</v>
      </c>
    </row>
    <row r="303" spans="1:23" ht="11.25" customHeight="1" x14ac:dyDescent="0.3">
      <c r="A303" s="4" t="s">
        <v>21</v>
      </c>
      <c r="B303" s="4" t="s">
        <v>35</v>
      </c>
      <c r="C303" s="4" t="s">
        <v>23</v>
      </c>
      <c r="D303" s="4" t="s">
        <v>40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44531</v>
      </c>
      <c r="J303" s="6">
        <v>0</v>
      </c>
      <c r="K303" s="6">
        <v>0</v>
      </c>
      <c r="L303" s="6">
        <v>154.45699999999999</v>
      </c>
      <c r="M303" s="6">
        <v>154.45699999999999</v>
      </c>
      <c r="N303" s="6">
        <v>154.45699999999999</v>
      </c>
      <c r="O303" s="6">
        <v>154.45699999999999</v>
      </c>
      <c r="P303" s="6">
        <v>369</v>
      </c>
      <c r="Q303" s="4" t="s">
        <v>26</v>
      </c>
      <c r="R303" s="4">
        <v>0</v>
      </c>
      <c r="S303" s="4" t="s">
        <v>276</v>
      </c>
      <c r="T303" s="4" t="s">
        <v>465</v>
      </c>
      <c r="U303" s="4">
        <v>0</v>
      </c>
      <c r="V303" s="4">
        <v>67</v>
      </c>
      <c r="W303" s="4">
        <v>39</v>
      </c>
    </row>
    <row r="304" spans="1:23" ht="11.25" customHeight="1" x14ac:dyDescent="0.3">
      <c r="A304" s="4" t="s">
        <v>28</v>
      </c>
      <c r="B304" s="4" t="s">
        <v>35</v>
      </c>
      <c r="C304" s="4" t="s">
        <v>23</v>
      </c>
      <c r="D304" s="4" t="s">
        <v>40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44531</v>
      </c>
      <c r="J304" s="6">
        <v>0</v>
      </c>
      <c r="K304" s="6">
        <v>0</v>
      </c>
      <c r="L304" s="6">
        <v>4.7809999999999997</v>
      </c>
      <c r="M304" s="6">
        <v>4.7809999999999997</v>
      </c>
      <c r="N304" s="6">
        <v>4.7809999999999997</v>
      </c>
      <c r="O304" s="6">
        <v>4.7809999999999997</v>
      </c>
      <c r="P304" s="6">
        <v>10</v>
      </c>
      <c r="Q304" s="4" t="s">
        <v>26</v>
      </c>
      <c r="R304" s="4">
        <v>0</v>
      </c>
      <c r="S304" s="4" t="s">
        <v>276</v>
      </c>
      <c r="T304" s="4" t="s">
        <v>465</v>
      </c>
      <c r="U304" s="4">
        <v>0</v>
      </c>
      <c r="V304" s="4">
        <v>67</v>
      </c>
      <c r="W304" s="4">
        <v>39</v>
      </c>
    </row>
    <row r="305" spans="1:23" ht="11.25" customHeight="1" x14ac:dyDescent="0.3">
      <c r="A305" s="4" t="s">
        <v>21</v>
      </c>
      <c r="B305" s="4" t="s">
        <v>35</v>
      </c>
      <c r="C305" s="4" t="s">
        <v>23</v>
      </c>
      <c r="D305" s="4" t="s">
        <v>40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44562</v>
      </c>
      <c r="J305" s="6">
        <v>0</v>
      </c>
      <c r="K305" s="6">
        <v>0</v>
      </c>
      <c r="L305" s="6">
        <v>183.55799999999999</v>
      </c>
      <c r="M305" s="6">
        <v>183.55799999999999</v>
      </c>
      <c r="N305" s="6">
        <v>183.55799999999999</v>
      </c>
      <c r="O305" s="6">
        <v>183.55799999999999</v>
      </c>
      <c r="P305" s="6">
        <v>371</v>
      </c>
      <c r="Q305" s="4" t="s">
        <v>26</v>
      </c>
      <c r="R305" s="4">
        <v>0</v>
      </c>
      <c r="S305" s="4" t="s">
        <v>277</v>
      </c>
      <c r="T305" s="4" t="s">
        <v>466</v>
      </c>
      <c r="U305" s="4">
        <v>0</v>
      </c>
      <c r="V305" s="4">
        <v>67</v>
      </c>
      <c r="W305" s="4">
        <v>39</v>
      </c>
    </row>
    <row r="306" spans="1:23" ht="11.25" customHeight="1" x14ac:dyDescent="0.3">
      <c r="A306" s="4" t="s">
        <v>27</v>
      </c>
      <c r="B306" s="4" t="s">
        <v>35</v>
      </c>
      <c r="C306" s="4" t="s">
        <v>23</v>
      </c>
      <c r="D306" s="4" t="s">
        <v>40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44562</v>
      </c>
      <c r="J306" s="6">
        <v>0</v>
      </c>
      <c r="K306" s="6">
        <v>0</v>
      </c>
      <c r="L306" s="6">
        <v>2.2679999999999998</v>
      </c>
      <c r="M306" s="6">
        <v>2.2679999999999998</v>
      </c>
      <c r="N306" s="6">
        <v>2.2679999999999998</v>
      </c>
      <c r="O306" s="6">
        <v>2.2679999999999998</v>
      </c>
      <c r="P306" s="6">
        <v>0</v>
      </c>
      <c r="Q306" s="4" t="s">
        <v>26</v>
      </c>
      <c r="R306" s="4">
        <v>0</v>
      </c>
      <c r="S306" s="4" t="s">
        <v>277</v>
      </c>
      <c r="T306" s="4" t="s">
        <v>466</v>
      </c>
      <c r="U306" s="4">
        <v>0</v>
      </c>
      <c r="V306" s="4">
        <v>67</v>
      </c>
      <c r="W306" s="4">
        <v>39</v>
      </c>
    </row>
    <row r="307" spans="1:23" ht="11.25" customHeight="1" x14ac:dyDescent="0.3">
      <c r="A307" s="4" t="s">
        <v>28</v>
      </c>
      <c r="B307" s="4" t="s">
        <v>35</v>
      </c>
      <c r="C307" s="4" t="s">
        <v>23</v>
      </c>
      <c r="D307" s="4" t="s">
        <v>40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44562</v>
      </c>
      <c r="J307" s="6">
        <v>0</v>
      </c>
      <c r="K307" s="6">
        <v>0</v>
      </c>
      <c r="L307" s="6">
        <v>1.4890000000000001</v>
      </c>
      <c r="M307" s="6">
        <v>1.4890000000000001</v>
      </c>
      <c r="N307" s="6">
        <v>1.4890000000000001</v>
      </c>
      <c r="O307" s="6">
        <v>1.4890000000000001</v>
      </c>
      <c r="P307" s="6">
        <v>9</v>
      </c>
      <c r="Q307" s="4" t="s">
        <v>26</v>
      </c>
      <c r="R307" s="4">
        <v>0</v>
      </c>
      <c r="S307" s="4" t="s">
        <v>277</v>
      </c>
      <c r="T307" s="4" t="s">
        <v>466</v>
      </c>
      <c r="U307" s="4">
        <v>0</v>
      </c>
      <c r="V307" s="4">
        <v>67</v>
      </c>
      <c r="W307" s="4">
        <v>39</v>
      </c>
    </row>
    <row r="308" spans="1:23" ht="11.25" customHeight="1" x14ac:dyDescent="0.3">
      <c r="A308" s="4" t="s">
        <v>21</v>
      </c>
      <c r="B308" s="4" t="s">
        <v>35</v>
      </c>
      <c r="C308" s="4" t="s">
        <v>23</v>
      </c>
      <c r="D308" s="4" t="s">
        <v>40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44593</v>
      </c>
      <c r="J308" s="6">
        <v>0</v>
      </c>
      <c r="K308" s="6">
        <v>0</v>
      </c>
      <c r="L308" s="6">
        <v>190.53700000000001</v>
      </c>
      <c r="M308" s="6">
        <v>190.53700000000001</v>
      </c>
      <c r="N308" s="6">
        <v>190.53700000000001</v>
      </c>
      <c r="O308" s="6">
        <v>190.53700000000001</v>
      </c>
      <c r="P308" s="6">
        <v>368</v>
      </c>
      <c r="Q308" s="4" t="s">
        <v>26</v>
      </c>
      <c r="R308" s="4">
        <v>0</v>
      </c>
      <c r="S308" s="4" t="s">
        <v>278</v>
      </c>
      <c r="T308" s="4" t="s">
        <v>467</v>
      </c>
      <c r="U308" s="4">
        <v>0</v>
      </c>
      <c r="V308" s="4">
        <v>67</v>
      </c>
      <c r="W308" s="4">
        <v>39</v>
      </c>
    </row>
    <row r="309" spans="1:23" ht="11.25" customHeight="1" x14ac:dyDescent="0.3">
      <c r="A309" s="4" t="s">
        <v>28</v>
      </c>
      <c r="B309" s="4" t="s">
        <v>35</v>
      </c>
      <c r="C309" s="4" t="s">
        <v>23</v>
      </c>
      <c r="D309" s="4" t="s">
        <v>40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44593</v>
      </c>
      <c r="J309" s="6">
        <v>0</v>
      </c>
      <c r="K309" s="6">
        <v>0</v>
      </c>
      <c r="L309" s="6">
        <v>3.2589999999999999</v>
      </c>
      <c r="M309" s="6">
        <v>3.2589999999999999</v>
      </c>
      <c r="N309" s="6">
        <v>3.2589999999999999</v>
      </c>
      <c r="O309" s="6">
        <v>3.2589999999999999</v>
      </c>
      <c r="P309" s="6">
        <v>11</v>
      </c>
      <c r="Q309" s="4" t="s">
        <v>26</v>
      </c>
      <c r="R309" s="4">
        <v>0</v>
      </c>
      <c r="S309" s="4" t="s">
        <v>278</v>
      </c>
      <c r="T309" s="4" t="s">
        <v>467</v>
      </c>
      <c r="U309" s="4">
        <v>0</v>
      </c>
      <c r="V309" s="4">
        <v>67</v>
      </c>
      <c r="W309" s="4">
        <v>39</v>
      </c>
    </row>
    <row r="310" spans="1:23" ht="11.25" customHeight="1" x14ac:dyDescent="0.3">
      <c r="A310" s="4" t="s">
        <v>21</v>
      </c>
      <c r="B310" s="4" t="s">
        <v>35</v>
      </c>
      <c r="C310" s="4" t="s">
        <v>23</v>
      </c>
      <c r="D310" s="4" t="s">
        <v>40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44621</v>
      </c>
      <c r="J310" s="6">
        <v>0</v>
      </c>
      <c r="K310" s="6">
        <v>0</v>
      </c>
      <c r="L310" s="6">
        <v>174.095</v>
      </c>
      <c r="M310" s="6">
        <v>174.095</v>
      </c>
      <c r="N310" s="6">
        <v>174.095</v>
      </c>
      <c r="O310" s="6">
        <v>174.095</v>
      </c>
      <c r="P310" s="6">
        <v>365</v>
      </c>
      <c r="Q310" s="4" t="s">
        <v>26</v>
      </c>
      <c r="R310" s="4">
        <v>0</v>
      </c>
      <c r="S310" s="4" t="s">
        <v>279</v>
      </c>
      <c r="T310" s="4" t="s">
        <v>468</v>
      </c>
      <c r="U310" s="4">
        <v>0</v>
      </c>
      <c r="V310" s="4">
        <v>67</v>
      </c>
      <c r="W310" s="4">
        <v>39</v>
      </c>
    </row>
    <row r="311" spans="1:23" ht="11.25" customHeight="1" x14ac:dyDescent="0.3">
      <c r="A311" s="4" t="s">
        <v>27</v>
      </c>
      <c r="B311" s="4" t="s">
        <v>35</v>
      </c>
      <c r="C311" s="4" t="s">
        <v>23</v>
      </c>
      <c r="D311" s="4" t="s">
        <v>40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44621</v>
      </c>
      <c r="J311" s="6">
        <v>0</v>
      </c>
      <c r="K311" s="6">
        <v>0</v>
      </c>
      <c r="L311" s="6">
        <v>0.60699999999999998</v>
      </c>
      <c r="M311" s="6">
        <v>0.60699999999999998</v>
      </c>
      <c r="N311" s="6">
        <v>0.60699999999999998</v>
      </c>
      <c r="O311" s="6">
        <v>0.60699999999999998</v>
      </c>
      <c r="P311" s="6">
        <v>0</v>
      </c>
      <c r="Q311" s="4" t="s">
        <v>26</v>
      </c>
      <c r="R311" s="4">
        <v>0</v>
      </c>
      <c r="S311" s="4" t="s">
        <v>279</v>
      </c>
      <c r="T311" s="4" t="s">
        <v>468</v>
      </c>
      <c r="U311" s="4">
        <v>0</v>
      </c>
      <c r="V311" s="4">
        <v>67</v>
      </c>
      <c r="W311" s="4">
        <v>39</v>
      </c>
    </row>
    <row r="312" spans="1:23" ht="11.25" customHeight="1" x14ac:dyDescent="0.3">
      <c r="A312" s="4" t="s">
        <v>28</v>
      </c>
      <c r="B312" s="4" t="s">
        <v>35</v>
      </c>
      <c r="C312" s="4" t="s">
        <v>23</v>
      </c>
      <c r="D312" s="4" t="s">
        <v>40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44621</v>
      </c>
      <c r="J312" s="6">
        <v>0</v>
      </c>
      <c r="K312" s="6">
        <v>0</v>
      </c>
      <c r="L312" s="6">
        <v>3.4049999999999998</v>
      </c>
      <c r="M312" s="6">
        <v>3.4049999999999998</v>
      </c>
      <c r="N312" s="6">
        <v>3.4049999999999998</v>
      </c>
      <c r="O312" s="6">
        <v>3.4049999999999998</v>
      </c>
      <c r="P312" s="6">
        <v>13</v>
      </c>
      <c r="Q312" s="4" t="s">
        <v>26</v>
      </c>
      <c r="R312" s="4">
        <v>0</v>
      </c>
      <c r="S312" s="4" t="s">
        <v>279</v>
      </c>
      <c r="T312" s="4" t="s">
        <v>468</v>
      </c>
      <c r="U312" s="4">
        <v>0</v>
      </c>
      <c r="V312" s="4">
        <v>67</v>
      </c>
      <c r="W312" s="4">
        <v>39</v>
      </c>
    </row>
    <row r="313" spans="1:23" ht="11.25" customHeight="1" x14ac:dyDescent="0.3">
      <c r="A313" s="4" t="s">
        <v>21</v>
      </c>
      <c r="B313" s="4" t="s">
        <v>35</v>
      </c>
      <c r="C313" s="4" t="s">
        <v>23</v>
      </c>
      <c r="D313" s="4" t="s">
        <v>40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44652</v>
      </c>
      <c r="J313" s="6">
        <v>0</v>
      </c>
      <c r="K313" s="6">
        <v>0</v>
      </c>
      <c r="L313" s="6">
        <v>152.637</v>
      </c>
      <c r="M313" s="6">
        <v>152.637</v>
      </c>
      <c r="N313" s="6">
        <v>152.637</v>
      </c>
      <c r="O313" s="6">
        <v>152.637</v>
      </c>
      <c r="P313" s="6">
        <v>362</v>
      </c>
      <c r="Q313" s="4" t="s">
        <v>26</v>
      </c>
      <c r="R313" s="4">
        <v>0</v>
      </c>
      <c r="S313" s="4" t="s">
        <v>280</v>
      </c>
      <c r="T313" s="4" t="s">
        <v>469</v>
      </c>
      <c r="U313" s="4">
        <v>0</v>
      </c>
      <c r="V313" s="4">
        <v>67</v>
      </c>
      <c r="W313" s="4">
        <v>39</v>
      </c>
    </row>
    <row r="314" spans="1:23" ht="11.25" customHeight="1" x14ac:dyDescent="0.3">
      <c r="A314" s="4" t="s">
        <v>28</v>
      </c>
      <c r="B314" s="4" t="s">
        <v>35</v>
      </c>
      <c r="C314" s="4" t="s">
        <v>23</v>
      </c>
      <c r="D314" s="4" t="s">
        <v>40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44652</v>
      </c>
      <c r="J314" s="6">
        <v>0</v>
      </c>
      <c r="K314" s="6">
        <v>0</v>
      </c>
      <c r="L314" s="6">
        <v>6.9139999999999997</v>
      </c>
      <c r="M314" s="6">
        <v>6.9139999999999997</v>
      </c>
      <c r="N314" s="6">
        <v>6.9139999999999997</v>
      </c>
      <c r="O314" s="6">
        <v>6.9139999999999997</v>
      </c>
      <c r="P314" s="6">
        <v>14</v>
      </c>
      <c r="Q314" s="4" t="s">
        <v>26</v>
      </c>
      <c r="R314" s="4">
        <v>0</v>
      </c>
      <c r="S314" s="4" t="s">
        <v>280</v>
      </c>
      <c r="T314" s="4" t="s">
        <v>469</v>
      </c>
      <c r="U314" s="4">
        <v>0</v>
      </c>
      <c r="V314" s="4">
        <v>67</v>
      </c>
      <c r="W314" s="4">
        <v>39</v>
      </c>
    </row>
    <row r="315" spans="1:23" ht="11.25" customHeight="1" x14ac:dyDescent="0.3">
      <c r="A315" s="4" t="s">
        <v>21</v>
      </c>
      <c r="B315" s="4" t="s">
        <v>35</v>
      </c>
      <c r="C315" s="4" t="s">
        <v>23</v>
      </c>
      <c r="D315" s="4" t="s">
        <v>40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44682</v>
      </c>
      <c r="J315" s="6">
        <v>0</v>
      </c>
      <c r="K315" s="6">
        <v>0</v>
      </c>
      <c r="L315" s="6">
        <v>142.82</v>
      </c>
      <c r="M315" s="6">
        <v>142.82</v>
      </c>
      <c r="N315" s="6">
        <v>142.82</v>
      </c>
      <c r="O315" s="6">
        <v>142.82</v>
      </c>
      <c r="P315" s="6">
        <v>358</v>
      </c>
      <c r="Q315" s="4" t="s">
        <v>26</v>
      </c>
      <c r="R315" s="4">
        <v>0</v>
      </c>
      <c r="S315" s="4" t="s">
        <v>281</v>
      </c>
      <c r="T315" s="4" t="s">
        <v>470</v>
      </c>
      <c r="U315" s="4">
        <v>0</v>
      </c>
      <c r="V315" s="4">
        <v>67</v>
      </c>
      <c r="W315" s="4">
        <v>39</v>
      </c>
    </row>
    <row r="316" spans="1:23" ht="11.25" customHeight="1" x14ac:dyDescent="0.3">
      <c r="A316" s="4" t="s">
        <v>28</v>
      </c>
      <c r="B316" s="4" t="s">
        <v>35</v>
      </c>
      <c r="C316" s="4" t="s">
        <v>23</v>
      </c>
      <c r="D316" s="4" t="s">
        <v>40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44682</v>
      </c>
      <c r="J316" s="6">
        <v>0</v>
      </c>
      <c r="K316" s="6">
        <v>0</v>
      </c>
      <c r="L316" s="6">
        <v>4.97</v>
      </c>
      <c r="M316" s="6">
        <v>4.97</v>
      </c>
      <c r="N316" s="6">
        <v>4.97</v>
      </c>
      <c r="O316" s="6">
        <v>4.97</v>
      </c>
      <c r="P316" s="6">
        <v>12</v>
      </c>
      <c r="Q316" s="4" t="s">
        <v>26</v>
      </c>
      <c r="R316" s="4">
        <v>0</v>
      </c>
      <c r="S316" s="4" t="s">
        <v>281</v>
      </c>
      <c r="T316" s="4" t="s">
        <v>470</v>
      </c>
      <c r="U316" s="4">
        <v>0</v>
      </c>
      <c r="V316" s="4">
        <v>67</v>
      </c>
      <c r="W316" s="4">
        <v>39</v>
      </c>
    </row>
    <row r="317" spans="1:23" ht="11.25" customHeight="1" x14ac:dyDescent="0.3">
      <c r="A317" s="4" t="s">
        <v>21</v>
      </c>
      <c r="B317" s="4" t="s">
        <v>35</v>
      </c>
      <c r="C317" s="4" t="s">
        <v>23</v>
      </c>
      <c r="D317" s="4" t="s">
        <v>40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44713</v>
      </c>
      <c r="J317" s="6">
        <v>0</v>
      </c>
      <c r="K317" s="6">
        <v>0</v>
      </c>
      <c r="L317" s="6">
        <v>141.81299999999999</v>
      </c>
      <c r="M317" s="6">
        <v>141.81299999999999</v>
      </c>
      <c r="N317" s="6">
        <v>141.81299999999999</v>
      </c>
      <c r="O317" s="6">
        <v>141.81299999999999</v>
      </c>
      <c r="P317" s="6">
        <v>359</v>
      </c>
      <c r="Q317" s="4" t="s">
        <v>26</v>
      </c>
      <c r="R317" s="4">
        <v>0</v>
      </c>
      <c r="S317" s="4" t="s">
        <v>282</v>
      </c>
      <c r="T317" s="4" t="s">
        <v>471</v>
      </c>
      <c r="U317" s="4">
        <v>0</v>
      </c>
      <c r="V317" s="4">
        <v>67</v>
      </c>
      <c r="W317" s="4">
        <v>39</v>
      </c>
    </row>
    <row r="318" spans="1:23" ht="11.25" customHeight="1" x14ac:dyDescent="0.3">
      <c r="A318" s="4" t="s">
        <v>21</v>
      </c>
      <c r="B318" s="4" t="s">
        <v>35</v>
      </c>
      <c r="C318" s="4" t="s">
        <v>23</v>
      </c>
      <c r="D318" s="4" t="s">
        <v>40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44743</v>
      </c>
      <c r="J318" s="6">
        <v>0</v>
      </c>
      <c r="K318" s="6">
        <v>0</v>
      </c>
      <c r="L318" s="6">
        <v>118.15300000000001</v>
      </c>
      <c r="M318" s="6">
        <v>118.15300000000001</v>
      </c>
      <c r="N318" s="6">
        <v>118.15300000000001</v>
      </c>
      <c r="O318" s="6">
        <v>118.15300000000001</v>
      </c>
      <c r="P318" s="6">
        <v>350</v>
      </c>
      <c r="Q318" s="4" t="s">
        <v>26</v>
      </c>
      <c r="R318" s="4">
        <v>0</v>
      </c>
      <c r="S318" s="4" t="s">
        <v>283</v>
      </c>
      <c r="T318" s="4" t="s">
        <v>472</v>
      </c>
      <c r="U318" s="4">
        <v>0</v>
      </c>
      <c r="V318" s="4">
        <v>67</v>
      </c>
      <c r="W318" s="4">
        <v>39</v>
      </c>
    </row>
    <row r="319" spans="1:23" ht="11.25" customHeight="1" x14ac:dyDescent="0.3">
      <c r="A319" s="4" t="s">
        <v>28</v>
      </c>
      <c r="B319" s="4" t="s">
        <v>35</v>
      </c>
      <c r="C319" s="4" t="s">
        <v>23</v>
      </c>
      <c r="D319" s="4" t="s">
        <v>40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44743</v>
      </c>
      <c r="J319" s="6">
        <v>0</v>
      </c>
      <c r="K319" s="6">
        <v>0</v>
      </c>
      <c r="L319" s="6">
        <v>4.8849999999999998</v>
      </c>
      <c r="M319" s="6">
        <v>4.8849999999999998</v>
      </c>
      <c r="N319" s="6">
        <v>4.8849999999999998</v>
      </c>
      <c r="O319" s="6">
        <v>4.8849999999999998</v>
      </c>
      <c r="P319" s="6">
        <v>13</v>
      </c>
      <c r="Q319" s="4" t="s">
        <v>26</v>
      </c>
      <c r="R319" s="4">
        <v>0</v>
      </c>
      <c r="S319" s="4" t="s">
        <v>283</v>
      </c>
      <c r="T319" s="4" t="s">
        <v>472</v>
      </c>
      <c r="U319" s="4">
        <v>0</v>
      </c>
      <c r="V319" s="4">
        <v>67</v>
      </c>
      <c r="W319" s="4">
        <v>39</v>
      </c>
    </row>
    <row r="320" spans="1:23" ht="11.25" customHeight="1" x14ac:dyDescent="0.3">
      <c r="A320" s="4" t="s">
        <v>21</v>
      </c>
      <c r="B320" s="4" t="s">
        <v>35</v>
      </c>
      <c r="C320" s="4" t="s">
        <v>23</v>
      </c>
      <c r="D320" s="4" t="s">
        <v>40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44774</v>
      </c>
      <c r="J320" s="6">
        <v>0</v>
      </c>
      <c r="K320" s="6">
        <v>0</v>
      </c>
      <c r="L320" s="6">
        <v>132.239</v>
      </c>
      <c r="M320" s="6">
        <v>132.239</v>
      </c>
      <c r="N320" s="6">
        <v>132.239</v>
      </c>
      <c r="O320" s="6">
        <v>132.239</v>
      </c>
      <c r="P320" s="6">
        <v>352</v>
      </c>
      <c r="Q320" s="4" t="s">
        <v>26</v>
      </c>
      <c r="R320" s="4">
        <v>0</v>
      </c>
      <c r="S320" s="4" t="s">
        <v>284</v>
      </c>
      <c r="T320" s="4" t="s">
        <v>473</v>
      </c>
      <c r="U320" s="4">
        <v>0</v>
      </c>
      <c r="V320" s="4">
        <v>67</v>
      </c>
      <c r="W320" s="4">
        <v>39</v>
      </c>
    </row>
    <row r="321" spans="1:23" ht="11.25" customHeight="1" x14ac:dyDescent="0.3">
      <c r="A321" s="4" t="s">
        <v>27</v>
      </c>
      <c r="B321" s="4" t="s">
        <v>35</v>
      </c>
      <c r="C321" s="4" t="s">
        <v>23</v>
      </c>
      <c r="D321" s="4" t="s">
        <v>40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44774</v>
      </c>
      <c r="J321" s="6">
        <v>0</v>
      </c>
      <c r="K321" s="6">
        <v>0</v>
      </c>
      <c r="L321" s="6">
        <v>-0.224</v>
      </c>
      <c r="M321" s="6">
        <v>-0.224</v>
      </c>
      <c r="N321" s="6">
        <v>-0.224</v>
      </c>
      <c r="O321" s="6">
        <v>-0.224</v>
      </c>
      <c r="P321" s="6">
        <v>0</v>
      </c>
      <c r="Q321" s="4" t="s">
        <v>26</v>
      </c>
      <c r="R321" s="4">
        <v>0</v>
      </c>
      <c r="S321" s="4" t="s">
        <v>284</v>
      </c>
      <c r="T321" s="4" t="s">
        <v>473</v>
      </c>
      <c r="U321" s="4">
        <v>0</v>
      </c>
      <c r="V321" s="4">
        <v>67</v>
      </c>
      <c r="W321" s="4">
        <v>39</v>
      </c>
    </row>
    <row r="322" spans="1:23" ht="11.25" customHeight="1" x14ac:dyDescent="0.3">
      <c r="A322" s="4" t="s">
        <v>28</v>
      </c>
      <c r="B322" s="4" t="s">
        <v>35</v>
      </c>
      <c r="C322" s="4" t="s">
        <v>23</v>
      </c>
      <c r="D322" s="4" t="s">
        <v>40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44774</v>
      </c>
      <c r="J322" s="6">
        <v>0</v>
      </c>
      <c r="K322" s="6">
        <v>0</v>
      </c>
      <c r="L322" s="6">
        <v>4.9050000000000002</v>
      </c>
      <c r="M322" s="6">
        <v>4.9050000000000002</v>
      </c>
      <c r="N322" s="6">
        <v>4.9050000000000002</v>
      </c>
      <c r="O322" s="6">
        <v>4.9050000000000002</v>
      </c>
      <c r="P322" s="6">
        <v>13</v>
      </c>
      <c r="Q322" s="4" t="s">
        <v>26</v>
      </c>
      <c r="R322" s="4">
        <v>0</v>
      </c>
      <c r="S322" s="4" t="s">
        <v>284</v>
      </c>
      <c r="T322" s="4" t="s">
        <v>473</v>
      </c>
      <c r="U322" s="4">
        <v>0</v>
      </c>
      <c r="V322" s="4">
        <v>67</v>
      </c>
      <c r="W322" s="4">
        <v>39</v>
      </c>
    </row>
    <row r="323" spans="1:23" ht="11.25" customHeight="1" x14ac:dyDescent="0.3">
      <c r="A323" s="4" t="s">
        <v>21</v>
      </c>
      <c r="B323" s="4" t="s">
        <v>35</v>
      </c>
      <c r="C323" s="4" t="s">
        <v>23</v>
      </c>
      <c r="D323" s="4" t="s">
        <v>52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44440</v>
      </c>
      <c r="J323" s="6">
        <v>0</v>
      </c>
      <c r="K323" s="6">
        <v>0</v>
      </c>
      <c r="L323" s="6">
        <v>0.52700000000000002</v>
      </c>
      <c r="M323" s="6">
        <v>0.52700000000000002</v>
      </c>
      <c r="N323" s="6">
        <v>0.52700000000000002</v>
      </c>
      <c r="O323" s="6">
        <v>0.52700000000000002</v>
      </c>
      <c r="P323" s="6">
        <v>4</v>
      </c>
      <c r="Q323" s="4" t="s">
        <v>26</v>
      </c>
      <c r="R323" s="4">
        <v>0</v>
      </c>
      <c r="S323" s="4" t="s">
        <v>273</v>
      </c>
      <c r="T323" s="4" t="s">
        <v>462</v>
      </c>
      <c r="U323" s="4">
        <v>0</v>
      </c>
      <c r="V323" s="4">
        <v>67</v>
      </c>
      <c r="W323" s="4">
        <v>39</v>
      </c>
    </row>
    <row r="324" spans="1:23" ht="11.25" customHeight="1" x14ac:dyDescent="0.3">
      <c r="A324" s="4" t="s">
        <v>21</v>
      </c>
      <c r="B324" s="4" t="s">
        <v>35</v>
      </c>
      <c r="C324" s="4" t="s">
        <v>23</v>
      </c>
      <c r="D324" s="4" t="s">
        <v>52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44470</v>
      </c>
      <c r="J324" s="6">
        <v>0</v>
      </c>
      <c r="K324" s="6">
        <v>0</v>
      </c>
      <c r="L324" s="6">
        <v>0.504</v>
      </c>
      <c r="M324" s="6">
        <v>0.504</v>
      </c>
      <c r="N324" s="6">
        <v>0.504</v>
      </c>
      <c r="O324" s="6">
        <v>0.504</v>
      </c>
      <c r="P324" s="6">
        <v>4</v>
      </c>
      <c r="Q324" s="4" t="s">
        <v>26</v>
      </c>
      <c r="R324" s="4">
        <v>0</v>
      </c>
      <c r="S324" s="4" t="s">
        <v>274</v>
      </c>
      <c r="T324" s="4" t="s">
        <v>463</v>
      </c>
      <c r="U324" s="4">
        <v>0</v>
      </c>
      <c r="V324" s="4">
        <v>67</v>
      </c>
      <c r="W324" s="4">
        <v>39</v>
      </c>
    </row>
    <row r="325" spans="1:23" ht="11.25" customHeight="1" x14ac:dyDescent="0.3">
      <c r="A325" s="4" t="s">
        <v>21</v>
      </c>
      <c r="B325" s="4" t="s">
        <v>35</v>
      </c>
      <c r="C325" s="4" t="s">
        <v>23</v>
      </c>
      <c r="D325" s="4" t="s">
        <v>52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44501</v>
      </c>
      <c r="J325" s="6">
        <v>0</v>
      </c>
      <c r="K325" s="6">
        <v>0</v>
      </c>
      <c r="L325" s="6">
        <v>0.48899999999999999</v>
      </c>
      <c r="M325" s="6">
        <v>0.48899999999999999</v>
      </c>
      <c r="N325" s="6">
        <v>0.48899999999999999</v>
      </c>
      <c r="O325" s="6">
        <v>0.48899999999999999</v>
      </c>
      <c r="P325" s="6">
        <v>4</v>
      </c>
      <c r="Q325" s="4" t="s">
        <v>26</v>
      </c>
      <c r="R325" s="4">
        <v>0</v>
      </c>
      <c r="S325" s="4" t="s">
        <v>275</v>
      </c>
      <c r="T325" s="4" t="s">
        <v>464</v>
      </c>
      <c r="U325" s="4">
        <v>0</v>
      </c>
      <c r="V325" s="4">
        <v>67</v>
      </c>
      <c r="W325" s="4">
        <v>39</v>
      </c>
    </row>
    <row r="326" spans="1:23" ht="11.25" customHeight="1" x14ac:dyDescent="0.3">
      <c r="A326" s="4" t="s">
        <v>21</v>
      </c>
      <c r="B326" s="4" t="s">
        <v>35</v>
      </c>
      <c r="C326" s="4" t="s">
        <v>23</v>
      </c>
      <c r="D326" s="4" t="s">
        <v>52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44531</v>
      </c>
      <c r="J326" s="6">
        <v>0</v>
      </c>
      <c r="K326" s="6">
        <v>0</v>
      </c>
      <c r="L326" s="6">
        <v>0.48699999999999999</v>
      </c>
      <c r="M326" s="6">
        <v>0.48699999999999999</v>
      </c>
      <c r="N326" s="6">
        <v>0.48699999999999999</v>
      </c>
      <c r="O326" s="6">
        <v>0.48699999999999999</v>
      </c>
      <c r="P326" s="6">
        <v>4</v>
      </c>
      <c r="Q326" s="4" t="s">
        <v>26</v>
      </c>
      <c r="R326" s="4">
        <v>0</v>
      </c>
      <c r="S326" s="4" t="s">
        <v>276</v>
      </c>
      <c r="T326" s="4" t="s">
        <v>465</v>
      </c>
      <c r="U326" s="4">
        <v>0</v>
      </c>
      <c r="V326" s="4">
        <v>67</v>
      </c>
      <c r="W326" s="4">
        <v>39</v>
      </c>
    </row>
    <row r="327" spans="1:23" ht="11.25" customHeight="1" x14ac:dyDescent="0.3">
      <c r="A327" s="4" t="s">
        <v>21</v>
      </c>
      <c r="B327" s="4" t="s">
        <v>35</v>
      </c>
      <c r="C327" s="4" t="s">
        <v>23</v>
      </c>
      <c r="D327" s="4" t="s">
        <v>52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44562</v>
      </c>
      <c r="J327" s="6">
        <v>0</v>
      </c>
      <c r="K327" s="6">
        <v>0</v>
      </c>
      <c r="L327" s="6">
        <v>0.74099999999999999</v>
      </c>
      <c r="M327" s="6">
        <v>0.74099999999999999</v>
      </c>
      <c r="N327" s="6">
        <v>0.74099999999999999</v>
      </c>
      <c r="O327" s="6">
        <v>0.74099999999999999</v>
      </c>
      <c r="P327" s="6">
        <v>4</v>
      </c>
      <c r="Q327" s="4" t="s">
        <v>26</v>
      </c>
      <c r="R327" s="4">
        <v>0</v>
      </c>
      <c r="S327" s="4" t="s">
        <v>277</v>
      </c>
      <c r="T327" s="4" t="s">
        <v>466</v>
      </c>
      <c r="U327" s="4">
        <v>0</v>
      </c>
      <c r="V327" s="4">
        <v>67</v>
      </c>
      <c r="W327" s="4">
        <v>39</v>
      </c>
    </row>
    <row r="328" spans="1:23" ht="11.25" customHeight="1" x14ac:dyDescent="0.3">
      <c r="A328" s="4" t="s">
        <v>21</v>
      </c>
      <c r="B328" s="4" t="s">
        <v>35</v>
      </c>
      <c r="C328" s="4" t="s">
        <v>23</v>
      </c>
      <c r="D328" s="4" t="s">
        <v>52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44593</v>
      </c>
      <c r="J328" s="6">
        <v>0</v>
      </c>
      <c r="K328" s="6">
        <v>0</v>
      </c>
      <c r="L328" s="6">
        <v>0.98899999999999999</v>
      </c>
      <c r="M328" s="6">
        <v>0.98899999999999999</v>
      </c>
      <c r="N328" s="6">
        <v>0.98899999999999999</v>
      </c>
      <c r="O328" s="6">
        <v>0.98899999999999999</v>
      </c>
      <c r="P328" s="6">
        <v>4</v>
      </c>
      <c r="Q328" s="4" t="s">
        <v>26</v>
      </c>
      <c r="R328" s="4">
        <v>0</v>
      </c>
      <c r="S328" s="4" t="s">
        <v>278</v>
      </c>
      <c r="T328" s="4" t="s">
        <v>467</v>
      </c>
      <c r="U328" s="4">
        <v>0</v>
      </c>
      <c r="V328" s="4">
        <v>67</v>
      </c>
      <c r="W328" s="4">
        <v>39</v>
      </c>
    </row>
    <row r="329" spans="1:23" ht="11.25" customHeight="1" x14ac:dyDescent="0.3">
      <c r="A329" s="4" t="s">
        <v>21</v>
      </c>
      <c r="B329" s="4" t="s">
        <v>35</v>
      </c>
      <c r="C329" s="4" t="s">
        <v>23</v>
      </c>
      <c r="D329" s="4" t="s">
        <v>52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44621</v>
      </c>
      <c r="J329" s="6">
        <v>0</v>
      </c>
      <c r="K329" s="6">
        <v>0</v>
      </c>
      <c r="L329" s="6">
        <v>0.78800000000000003</v>
      </c>
      <c r="M329" s="6">
        <v>0.78800000000000003</v>
      </c>
      <c r="N329" s="6">
        <v>0.78800000000000003</v>
      </c>
      <c r="O329" s="6">
        <v>0.78800000000000003</v>
      </c>
      <c r="P329" s="6">
        <v>4</v>
      </c>
      <c r="Q329" s="4" t="s">
        <v>26</v>
      </c>
      <c r="R329" s="4">
        <v>0</v>
      </c>
      <c r="S329" s="4" t="s">
        <v>279</v>
      </c>
      <c r="T329" s="4" t="s">
        <v>468</v>
      </c>
      <c r="U329" s="4">
        <v>0</v>
      </c>
      <c r="V329" s="4">
        <v>67</v>
      </c>
      <c r="W329" s="4">
        <v>39</v>
      </c>
    </row>
    <row r="330" spans="1:23" ht="11.25" customHeight="1" x14ac:dyDescent="0.3">
      <c r="A330" s="4" t="s">
        <v>21</v>
      </c>
      <c r="B330" s="4" t="s">
        <v>35</v>
      </c>
      <c r="C330" s="4" t="s">
        <v>23</v>
      </c>
      <c r="D330" s="4" t="s">
        <v>52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44652</v>
      </c>
      <c r="J330" s="6">
        <v>0</v>
      </c>
      <c r="K330" s="6">
        <v>0</v>
      </c>
      <c r="L330" s="6">
        <v>0.55900000000000005</v>
      </c>
      <c r="M330" s="6">
        <v>0.55900000000000005</v>
      </c>
      <c r="N330" s="6">
        <v>0.55900000000000005</v>
      </c>
      <c r="O330" s="6">
        <v>0.55900000000000005</v>
      </c>
      <c r="P330" s="6">
        <v>4</v>
      </c>
      <c r="Q330" s="4" t="s">
        <v>26</v>
      </c>
      <c r="R330" s="4">
        <v>0</v>
      </c>
      <c r="S330" s="4" t="s">
        <v>280</v>
      </c>
      <c r="T330" s="4" t="s">
        <v>469</v>
      </c>
      <c r="U330" s="4">
        <v>0</v>
      </c>
      <c r="V330" s="4">
        <v>67</v>
      </c>
      <c r="W330" s="4">
        <v>39</v>
      </c>
    </row>
    <row r="331" spans="1:23" ht="11.25" customHeight="1" x14ac:dyDescent="0.3">
      <c r="A331" s="4" t="s">
        <v>21</v>
      </c>
      <c r="B331" s="4" t="s">
        <v>35</v>
      </c>
      <c r="C331" s="4" t="s">
        <v>23</v>
      </c>
      <c r="D331" s="4" t="s">
        <v>52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44682</v>
      </c>
      <c r="J331" s="6">
        <v>0</v>
      </c>
      <c r="K331" s="6">
        <v>0</v>
      </c>
      <c r="L331" s="6">
        <v>0.50600000000000001</v>
      </c>
      <c r="M331" s="6">
        <v>0.50600000000000001</v>
      </c>
      <c r="N331" s="6">
        <v>0.50600000000000001</v>
      </c>
      <c r="O331" s="6">
        <v>0.50600000000000001</v>
      </c>
      <c r="P331" s="6">
        <v>4</v>
      </c>
      <c r="Q331" s="4" t="s">
        <v>26</v>
      </c>
      <c r="R331" s="4">
        <v>0</v>
      </c>
      <c r="S331" s="4" t="s">
        <v>281</v>
      </c>
      <c r="T331" s="4" t="s">
        <v>470</v>
      </c>
      <c r="U331" s="4">
        <v>0</v>
      </c>
      <c r="V331" s="4">
        <v>67</v>
      </c>
      <c r="W331" s="4">
        <v>39</v>
      </c>
    </row>
    <row r="332" spans="1:23" ht="11.25" customHeight="1" x14ac:dyDescent="0.3">
      <c r="A332" s="4" t="s">
        <v>21</v>
      </c>
      <c r="B332" s="4" t="s">
        <v>35</v>
      </c>
      <c r="C332" s="4" t="s">
        <v>23</v>
      </c>
      <c r="D332" s="4" t="s">
        <v>52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44713</v>
      </c>
      <c r="J332" s="6">
        <v>0</v>
      </c>
      <c r="K332" s="6">
        <v>0</v>
      </c>
      <c r="L332" s="6">
        <v>0.69299999999999995</v>
      </c>
      <c r="M332" s="6">
        <v>0.69299999999999995</v>
      </c>
      <c r="N332" s="6">
        <v>0.69299999999999995</v>
      </c>
      <c r="O332" s="6">
        <v>0.69299999999999995</v>
      </c>
      <c r="P332" s="6">
        <v>4</v>
      </c>
      <c r="Q332" s="4" t="s">
        <v>26</v>
      </c>
      <c r="R332" s="4">
        <v>0</v>
      </c>
      <c r="S332" s="4" t="s">
        <v>282</v>
      </c>
      <c r="T332" s="4" t="s">
        <v>471</v>
      </c>
      <c r="U332" s="4">
        <v>0</v>
      </c>
      <c r="V332" s="4">
        <v>67</v>
      </c>
      <c r="W332" s="4">
        <v>39</v>
      </c>
    </row>
    <row r="333" spans="1:23" ht="11.25" customHeight="1" x14ac:dyDescent="0.3">
      <c r="A333" s="4" t="s">
        <v>21</v>
      </c>
      <c r="B333" s="4" t="s">
        <v>35</v>
      </c>
      <c r="C333" s="4" t="s">
        <v>23</v>
      </c>
      <c r="D333" s="4" t="s">
        <v>52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44743</v>
      </c>
      <c r="J333" s="6">
        <v>0</v>
      </c>
      <c r="K333" s="6">
        <v>0</v>
      </c>
      <c r="L333" s="6">
        <v>0.58499999999999996</v>
      </c>
      <c r="M333" s="6">
        <v>0.58499999999999996</v>
      </c>
      <c r="N333" s="6">
        <v>0.58499999999999996</v>
      </c>
      <c r="O333" s="6">
        <v>0.58499999999999996</v>
      </c>
      <c r="P333" s="6">
        <v>4</v>
      </c>
      <c r="Q333" s="4" t="s">
        <v>26</v>
      </c>
      <c r="R333" s="4">
        <v>0</v>
      </c>
      <c r="S333" s="4" t="s">
        <v>283</v>
      </c>
      <c r="T333" s="4" t="s">
        <v>472</v>
      </c>
      <c r="U333" s="4">
        <v>0</v>
      </c>
      <c r="V333" s="4">
        <v>67</v>
      </c>
      <c r="W333" s="4">
        <v>39</v>
      </c>
    </row>
    <row r="334" spans="1:23" ht="11.25" customHeight="1" x14ac:dyDescent="0.3">
      <c r="A334" s="4" t="s">
        <v>21</v>
      </c>
      <c r="B334" s="4" t="s">
        <v>35</v>
      </c>
      <c r="C334" s="4" t="s">
        <v>23</v>
      </c>
      <c r="D334" s="4" t="s">
        <v>52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44774</v>
      </c>
      <c r="J334" s="6">
        <v>0</v>
      </c>
      <c r="K334" s="6">
        <v>0</v>
      </c>
      <c r="L334" s="6">
        <v>0.6</v>
      </c>
      <c r="M334" s="6">
        <v>0.6</v>
      </c>
      <c r="N334" s="6">
        <v>0.6</v>
      </c>
      <c r="O334" s="6">
        <v>0.6</v>
      </c>
      <c r="P334" s="6">
        <v>4</v>
      </c>
      <c r="Q334" s="4" t="s">
        <v>26</v>
      </c>
      <c r="R334" s="4">
        <v>0</v>
      </c>
      <c r="S334" s="4" t="s">
        <v>284</v>
      </c>
      <c r="T334" s="4" t="s">
        <v>473</v>
      </c>
      <c r="U334" s="4">
        <v>0</v>
      </c>
      <c r="V334" s="4">
        <v>67</v>
      </c>
      <c r="W334" s="4">
        <v>39</v>
      </c>
    </row>
    <row r="335" spans="1:23" ht="11.25" customHeight="1" x14ac:dyDescent="0.3">
      <c r="A335" s="4" t="s">
        <v>21</v>
      </c>
      <c r="B335" s="4" t="s">
        <v>35</v>
      </c>
      <c r="C335" s="4" t="s">
        <v>23</v>
      </c>
      <c r="D335" s="4" t="s">
        <v>36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44440</v>
      </c>
      <c r="J335" s="6">
        <v>0</v>
      </c>
      <c r="K335" s="6">
        <v>0</v>
      </c>
      <c r="L335" s="6">
        <v>42.145000000000003</v>
      </c>
      <c r="M335" s="6">
        <v>42.145000000000003</v>
      </c>
      <c r="N335" s="6">
        <v>42.145000000000003</v>
      </c>
      <c r="O335" s="6">
        <v>42.145000000000003</v>
      </c>
      <c r="P335" s="6">
        <v>51</v>
      </c>
      <c r="Q335" s="4" t="s">
        <v>26</v>
      </c>
      <c r="R335" s="4">
        <v>0</v>
      </c>
      <c r="S335" s="4" t="s">
        <v>273</v>
      </c>
      <c r="T335" s="4" t="s">
        <v>462</v>
      </c>
      <c r="U335" s="4">
        <v>0</v>
      </c>
      <c r="V335" s="4">
        <v>67</v>
      </c>
      <c r="W335" s="4">
        <v>39</v>
      </c>
    </row>
    <row r="336" spans="1:23" ht="11.25" customHeight="1" x14ac:dyDescent="0.3">
      <c r="A336" s="4" t="s">
        <v>28</v>
      </c>
      <c r="B336" s="4" t="s">
        <v>35</v>
      </c>
      <c r="C336" s="4" t="s">
        <v>23</v>
      </c>
      <c r="D336" s="4" t="s">
        <v>36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44440</v>
      </c>
      <c r="J336" s="6">
        <v>0</v>
      </c>
      <c r="K336" s="6">
        <v>0</v>
      </c>
      <c r="L336" s="6">
        <v>104.965</v>
      </c>
      <c r="M336" s="6">
        <v>104.965</v>
      </c>
      <c r="N336" s="6">
        <v>104.965</v>
      </c>
      <c r="O336" s="6">
        <v>104.965</v>
      </c>
      <c r="P336" s="6">
        <v>2</v>
      </c>
      <c r="Q336" s="4" t="s">
        <v>26</v>
      </c>
      <c r="R336" s="4">
        <v>0</v>
      </c>
      <c r="S336" s="4" t="s">
        <v>273</v>
      </c>
      <c r="T336" s="4" t="s">
        <v>462</v>
      </c>
      <c r="U336" s="4">
        <v>0</v>
      </c>
      <c r="V336" s="4">
        <v>67</v>
      </c>
      <c r="W336" s="4">
        <v>39</v>
      </c>
    </row>
    <row r="337" spans="1:23" ht="11.25" customHeight="1" x14ac:dyDescent="0.3">
      <c r="A337" s="4" t="s">
        <v>28</v>
      </c>
      <c r="B337" s="4" t="s">
        <v>35</v>
      </c>
      <c r="C337" s="4" t="s">
        <v>23</v>
      </c>
      <c r="D337" s="4" t="s">
        <v>36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44440</v>
      </c>
      <c r="J337" s="6">
        <v>0</v>
      </c>
      <c r="K337" s="6">
        <v>0</v>
      </c>
      <c r="L337" s="6">
        <v>-99.763000000000005</v>
      </c>
      <c r="M337" s="6">
        <v>-99.763000000000005</v>
      </c>
      <c r="N337" s="6">
        <v>-99.763000000000005</v>
      </c>
      <c r="O337" s="6">
        <v>-99.763000000000005</v>
      </c>
      <c r="P337" s="6">
        <v>1</v>
      </c>
      <c r="Q337" s="4" t="s">
        <v>26</v>
      </c>
      <c r="R337" s="4">
        <v>0</v>
      </c>
      <c r="S337" s="4" t="s">
        <v>273</v>
      </c>
      <c r="T337" s="4" t="s">
        <v>462</v>
      </c>
      <c r="U337" s="4">
        <v>0</v>
      </c>
      <c r="V337" s="4">
        <v>67</v>
      </c>
      <c r="W337" s="4">
        <v>39</v>
      </c>
    </row>
    <row r="338" spans="1:23" ht="11.25" customHeight="1" x14ac:dyDescent="0.3">
      <c r="A338" s="4" t="s">
        <v>21</v>
      </c>
      <c r="B338" s="4" t="s">
        <v>35</v>
      </c>
      <c r="C338" s="4" t="s">
        <v>23</v>
      </c>
      <c r="D338" s="4" t="s">
        <v>36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44470</v>
      </c>
      <c r="J338" s="6">
        <v>0</v>
      </c>
      <c r="K338" s="6">
        <v>0</v>
      </c>
      <c r="L338" s="6">
        <v>45.834000000000003</v>
      </c>
      <c r="M338" s="6">
        <v>45.834000000000003</v>
      </c>
      <c r="N338" s="6">
        <v>45.834000000000003</v>
      </c>
      <c r="O338" s="6">
        <v>45.834000000000003</v>
      </c>
      <c r="P338" s="6">
        <v>50</v>
      </c>
      <c r="Q338" s="4" t="s">
        <v>26</v>
      </c>
      <c r="R338" s="4">
        <v>0</v>
      </c>
      <c r="S338" s="4" t="s">
        <v>274</v>
      </c>
      <c r="T338" s="4" t="s">
        <v>463</v>
      </c>
      <c r="U338" s="4">
        <v>0</v>
      </c>
      <c r="V338" s="4">
        <v>67</v>
      </c>
      <c r="W338" s="4">
        <v>39</v>
      </c>
    </row>
    <row r="339" spans="1:23" ht="11.25" customHeight="1" x14ac:dyDescent="0.3">
      <c r="A339" s="4" t="s">
        <v>28</v>
      </c>
      <c r="B339" s="4" t="s">
        <v>35</v>
      </c>
      <c r="C339" s="4" t="s">
        <v>23</v>
      </c>
      <c r="D339" s="4" t="s">
        <v>36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44470</v>
      </c>
      <c r="J339" s="6">
        <v>0</v>
      </c>
      <c r="K339" s="6">
        <v>0</v>
      </c>
      <c r="L339" s="6">
        <v>3.6989999999999998</v>
      </c>
      <c r="M339" s="6">
        <v>3.6989999999999998</v>
      </c>
      <c r="N339" s="6">
        <v>3.6989999999999998</v>
      </c>
      <c r="O339" s="6">
        <v>3.6989999999999998</v>
      </c>
      <c r="P339" s="6">
        <v>2</v>
      </c>
      <c r="Q339" s="4" t="s">
        <v>26</v>
      </c>
      <c r="R339" s="4">
        <v>0</v>
      </c>
      <c r="S339" s="4" t="s">
        <v>274</v>
      </c>
      <c r="T339" s="4" t="s">
        <v>463</v>
      </c>
      <c r="U339" s="4">
        <v>0</v>
      </c>
      <c r="V339" s="4">
        <v>67</v>
      </c>
      <c r="W339" s="4">
        <v>39</v>
      </c>
    </row>
    <row r="340" spans="1:23" ht="11.25" customHeight="1" x14ac:dyDescent="0.3">
      <c r="A340" s="4" t="s">
        <v>21</v>
      </c>
      <c r="B340" s="4" t="s">
        <v>35</v>
      </c>
      <c r="C340" s="4" t="s">
        <v>23</v>
      </c>
      <c r="D340" s="4" t="s">
        <v>36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44501</v>
      </c>
      <c r="J340" s="6">
        <v>0</v>
      </c>
      <c r="K340" s="6">
        <v>0</v>
      </c>
      <c r="L340" s="6">
        <v>41.173000000000002</v>
      </c>
      <c r="M340" s="6">
        <v>41.173000000000002</v>
      </c>
      <c r="N340" s="6">
        <v>41.173000000000002</v>
      </c>
      <c r="O340" s="6">
        <v>41.173000000000002</v>
      </c>
      <c r="P340" s="6">
        <v>48</v>
      </c>
      <c r="Q340" s="4" t="s">
        <v>26</v>
      </c>
      <c r="R340" s="4">
        <v>0</v>
      </c>
      <c r="S340" s="4" t="s">
        <v>275</v>
      </c>
      <c r="T340" s="4" t="s">
        <v>464</v>
      </c>
      <c r="U340" s="4">
        <v>0</v>
      </c>
      <c r="V340" s="4">
        <v>67</v>
      </c>
      <c r="W340" s="4">
        <v>39</v>
      </c>
    </row>
    <row r="341" spans="1:23" ht="11.25" customHeight="1" x14ac:dyDescent="0.3">
      <c r="A341" s="4" t="s">
        <v>28</v>
      </c>
      <c r="B341" s="4" t="s">
        <v>35</v>
      </c>
      <c r="C341" s="4" t="s">
        <v>23</v>
      </c>
      <c r="D341" s="4" t="s">
        <v>36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44501</v>
      </c>
      <c r="J341" s="6">
        <v>0</v>
      </c>
      <c r="K341" s="6">
        <v>0</v>
      </c>
      <c r="L341" s="6">
        <v>2.7549999999999999</v>
      </c>
      <c r="M341" s="6">
        <v>2.7549999999999999</v>
      </c>
      <c r="N341" s="6">
        <v>2.7549999999999999</v>
      </c>
      <c r="O341" s="6">
        <v>2.7549999999999999</v>
      </c>
      <c r="P341" s="6">
        <v>3</v>
      </c>
      <c r="Q341" s="4" t="s">
        <v>26</v>
      </c>
      <c r="R341" s="4">
        <v>0</v>
      </c>
      <c r="S341" s="4" t="s">
        <v>275</v>
      </c>
      <c r="T341" s="4" t="s">
        <v>464</v>
      </c>
      <c r="U341" s="4">
        <v>0</v>
      </c>
      <c r="V341" s="4">
        <v>67</v>
      </c>
      <c r="W341" s="4">
        <v>39</v>
      </c>
    </row>
    <row r="342" spans="1:23" ht="11.25" customHeight="1" x14ac:dyDescent="0.3">
      <c r="A342" s="4" t="s">
        <v>21</v>
      </c>
      <c r="B342" s="4" t="s">
        <v>35</v>
      </c>
      <c r="C342" s="4" t="s">
        <v>23</v>
      </c>
      <c r="D342" s="4" t="s">
        <v>36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44531</v>
      </c>
      <c r="J342" s="6">
        <v>0</v>
      </c>
      <c r="K342" s="6">
        <v>0</v>
      </c>
      <c r="L342" s="6">
        <v>37.765999999999998</v>
      </c>
      <c r="M342" s="6">
        <v>37.765999999999998</v>
      </c>
      <c r="N342" s="6">
        <v>37.765999999999998</v>
      </c>
      <c r="O342" s="6">
        <v>37.765999999999998</v>
      </c>
      <c r="P342" s="6">
        <v>47</v>
      </c>
      <c r="Q342" s="4" t="s">
        <v>26</v>
      </c>
      <c r="R342" s="4">
        <v>0</v>
      </c>
      <c r="S342" s="4" t="s">
        <v>276</v>
      </c>
      <c r="T342" s="4" t="s">
        <v>465</v>
      </c>
      <c r="U342" s="4">
        <v>0</v>
      </c>
      <c r="V342" s="4">
        <v>67</v>
      </c>
      <c r="W342" s="4">
        <v>39</v>
      </c>
    </row>
    <row r="343" spans="1:23" ht="11.25" customHeight="1" x14ac:dyDescent="0.3">
      <c r="A343" s="4" t="s">
        <v>28</v>
      </c>
      <c r="B343" s="4" t="s">
        <v>35</v>
      </c>
      <c r="C343" s="4" t="s">
        <v>23</v>
      </c>
      <c r="D343" s="4" t="s">
        <v>36</v>
      </c>
      <c r="E343" s="4" t="s">
        <v>25</v>
      </c>
      <c r="F343" s="4" t="s">
        <v>25</v>
      </c>
      <c r="G343" s="4" t="s">
        <v>25</v>
      </c>
      <c r="H343" s="4" t="s">
        <v>25</v>
      </c>
      <c r="I343" s="5">
        <v>44531</v>
      </c>
      <c r="J343" s="6">
        <v>0</v>
      </c>
      <c r="K343" s="6">
        <v>0</v>
      </c>
      <c r="L343" s="6">
        <v>0.63300000000000001</v>
      </c>
      <c r="M343" s="6">
        <v>0.63300000000000001</v>
      </c>
      <c r="N343" s="6">
        <v>0.63300000000000001</v>
      </c>
      <c r="O343" s="6">
        <v>0.63300000000000001</v>
      </c>
      <c r="P343" s="6">
        <v>3</v>
      </c>
      <c r="Q343" s="4" t="s">
        <v>26</v>
      </c>
      <c r="R343" s="4">
        <v>0</v>
      </c>
      <c r="S343" s="4" t="s">
        <v>276</v>
      </c>
      <c r="T343" s="4" t="s">
        <v>465</v>
      </c>
      <c r="U343" s="4">
        <v>0</v>
      </c>
      <c r="V343" s="4">
        <v>67</v>
      </c>
      <c r="W343" s="4">
        <v>39</v>
      </c>
    </row>
    <row r="344" spans="1:23" ht="11.25" customHeight="1" x14ac:dyDescent="0.3">
      <c r="A344" s="4" t="s">
        <v>21</v>
      </c>
      <c r="B344" s="4" t="s">
        <v>35</v>
      </c>
      <c r="C344" s="4" t="s">
        <v>23</v>
      </c>
      <c r="D344" s="4" t="s">
        <v>36</v>
      </c>
      <c r="E344" s="4" t="s">
        <v>25</v>
      </c>
      <c r="F344" s="4" t="s">
        <v>25</v>
      </c>
      <c r="G344" s="4" t="s">
        <v>25</v>
      </c>
      <c r="H344" s="4" t="s">
        <v>25</v>
      </c>
      <c r="I344" s="5">
        <v>44562</v>
      </c>
      <c r="J344" s="6">
        <v>0</v>
      </c>
      <c r="K344" s="6">
        <v>0</v>
      </c>
      <c r="L344" s="6">
        <v>37.445999999999998</v>
      </c>
      <c r="M344" s="6">
        <v>37.445999999999998</v>
      </c>
      <c r="N344" s="6">
        <v>37.445999999999998</v>
      </c>
      <c r="O344" s="6">
        <v>37.445999999999998</v>
      </c>
      <c r="P344" s="6">
        <v>47</v>
      </c>
      <c r="Q344" s="4" t="s">
        <v>26</v>
      </c>
      <c r="R344" s="4">
        <v>0</v>
      </c>
      <c r="S344" s="4" t="s">
        <v>277</v>
      </c>
      <c r="T344" s="4" t="s">
        <v>466</v>
      </c>
      <c r="U344" s="4">
        <v>0</v>
      </c>
      <c r="V344" s="4">
        <v>67</v>
      </c>
      <c r="W344" s="4">
        <v>39</v>
      </c>
    </row>
    <row r="345" spans="1:23" ht="11.25" customHeight="1" x14ac:dyDescent="0.3">
      <c r="A345" s="4" t="s">
        <v>28</v>
      </c>
      <c r="B345" s="4" t="s">
        <v>35</v>
      </c>
      <c r="C345" s="4" t="s">
        <v>23</v>
      </c>
      <c r="D345" s="4" t="s">
        <v>36</v>
      </c>
      <c r="E345" s="4" t="s">
        <v>25</v>
      </c>
      <c r="F345" s="4" t="s">
        <v>25</v>
      </c>
      <c r="G345" s="4" t="s">
        <v>25</v>
      </c>
      <c r="H345" s="4" t="s">
        <v>25</v>
      </c>
      <c r="I345" s="5">
        <v>44562</v>
      </c>
      <c r="J345" s="6">
        <v>0</v>
      </c>
      <c r="K345" s="6">
        <v>0</v>
      </c>
      <c r="L345" s="6">
        <v>0.3</v>
      </c>
      <c r="M345" s="6">
        <v>0.3</v>
      </c>
      <c r="N345" s="6">
        <v>0.3</v>
      </c>
      <c r="O345" s="6">
        <v>0.3</v>
      </c>
      <c r="P345" s="6">
        <v>3</v>
      </c>
      <c r="Q345" s="4" t="s">
        <v>26</v>
      </c>
      <c r="R345" s="4">
        <v>0</v>
      </c>
      <c r="S345" s="4" t="s">
        <v>277</v>
      </c>
      <c r="T345" s="4" t="s">
        <v>466</v>
      </c>
      <c r="U345" s="4">
        <v>0</v>
      </c>
      <c r="V345" s="4">
        <v>67</v>
      </c>
      <c r="W345" s="4">
        <v>39</v>
      </c>
    </row>
    <row r="346" spans="1:23" ht="11.25" customHeight="1" x14ac:dyDescent="0.3">
      <c r="A346" s="4" t="s">
        <v>21</v>
      </c>
      <c r="B346" s="4" t="s">
        <v>35</v>
      </c>
      <c r="C346" s="4" t="s">
        <v>23</v>
      </c>
      <c r="D346" s="4" t="s">
        <v>36</v>
      </c>
      <c r="E346" s="4" t="s">
        <v>25</v>
      </c>
      <c r="F346" s="4" t="s">
        <v>25</v>
      </c>
      <c r="G346" s="4" t="s">
        <v>25</v>
      </c>
      <c r="H346" s="4" t="s">
        <v>25</v>
      </c>
      <c r="I346" s="5">
        <v>44593</v>
      </c>
      <c r="J346" s="6">
        <v>0</v>
      </c>
      <c r="K346" s="6">
        <v>0</v>
      </c>
      <c r="L346" s="6">
        <v>38.561999999999998</v>
      </c>
      <c r="M346" s="6">
        <v>38.561999999999998</v>
      </c>
      <c r="N346" s="6">
        <v>38.561999999999998</v>
      </c>
      <c r="O346" s="6">
        <v>38.561999999999998</v>
      </c>
      <c r="P346" s="6">
        <v>46</v>
      </c>
      <c r="Q346" s="4" t="s">
        <v>26</v>
      </c>
      <c r="R346" s="4">
        <v>0</v>
      </c>
      <c r="S346" s="4" t="s">
        <v>278</v>
      </c>
      <c r="T346" s="4" t="s">
        <v>467</v>
      </c>
      <c r="U346" s="4">
        <v>0</v>
      </c>
      <c r="V346" s="4">
        <v>67</v>
      </c>
      <c r="W346" s="4">
        <v>39</v>
      </c>
    </row>
    <row r="347" spans="1:23" ht="11.25" customHeight="1" x14ac:dyDescent="0.3">
      <c r="A347" s="4" t="s">
        <v>28</v>
      </c>
      <c r="B347" s="4" t="s">
        <v>35</v>
      </c>
      <c r="C347" s="4" t="s">
        <v>23</v>
      </c>
      <c r="D347" s="4" t="s">
        <v>36</v>
      </c>
      <c r="E347" s="4" t="s">
        <v>25</v>
      </c>
      <c r="F347" s="4" t="s">
        <v>25</v>
      </c>
      <c r="G347" s="4" t="s">
        <v>25</v>
      </c>
      <c r="H347" s="4" t="s">
        <v>25</v>
      </c>
      <c r="I347" s="5">
        <v>44593</v>
      </c>
      <c r="J347" s="6">
        <v>0</v>
      </c>
      <c r="K347" s="6">
        <v>0</v>
      </c>
      <c r="L347" s="6">
        <v>0.3</v>
      </c>
      <c r="M347" s="6">
        <v>0.3</v>
      </c>
      <c r="N347" s="6">
        <v>0.3</v>
      </c>
      <c r="O347" s="6">
        <v>0.3</v>
      </c>
      <c r="P347" s="6">
        <v>3</v>
      </c>
      <c r="Q347" s="4" t="s">
        <v>26</v>
      </c>
      <c r="R347" s="4">
        <v>0</v>
      </c>
      <c r="S347" s="4" t="s">
        <v>278</v>
      </c>
      <c r="T347" s="4" t="s">
        <v>467</v>
      </c>
      <c r="U347" s="4">
        <v>0</v>
      </c>
      <c r="V347" s="4">
        <v>67</v>
      </c>
      <c r="W347" s="4">
        <v>39</v>
      </c>
    </row>
    <row r="348" spans="1:23" ht="11.25" customHeight="1" x14ac:dyDescent="0.3">
      <c r="A348" s="4" t="s">
        <v>21</v>
      </c>
      <c r="B348" s="4" t="s">
        <v>35</v>
      </c>
      <c r="C348" s="4" t="s">
        <v>23</v>
      </c>
      <c r="D348" s="4" t="s">
        <v>36</v>
      </c>
      <c r="E348" s="4" t="s">
        <v>25</v>
      </c>
      <c r="F348" s="4" t="s">
        <v>25</v>
      </c>
      <c r="G348" s="4" t="s">
        <v>25</v>
      </c>
      <c r="H348" s="4" t="s">
        <v>25</v>
      </c>
      <c r="I348" s="5">
        <v>44621</v>
      </c>
      <c r="J348" s="6">
        <v>0</v>
      </c>
      <c r="K348" s="6">
        <v>0</v>
      </c>
      <c r="L348" s="6">
        <v>38.768999999999998</v>
      </c>
      <c r="M348" s="6">
        <v>38.768999999999998</v>
      </c>
      <c r="N348" s="6">
        <v>38.768999999999998</v>
      </c>
      <c r="O348" s="6">
        <v>38.768999999999998</v>
      </c>
      <c r="P348" s="6">
        <v>44</v>
      </c>
      <c r="Q348" s="4" t="s">
        <v>26</v>
      </c>
      <c r="R348" s="4">
        <v>0</v>
      </c>
      <c r="S348" s="4" t="s">
        <v>279</v>
      </c>
      <c r="T348" s="4" t="s">
        <v>468</v>
      </c>
      <c r="U348" s="4">
        <v>0</v>
      </c>
      <c r="V348" s="4">
        <v>67</v>
      </c>
      <c r="W348" s="4">
        <v>39</v>
      </c>
    </row>
    <row r="349" spans="1:23" ht="11.25" customHeight="1" x14ac:dyDescent="0.3">
      <c r="A349" s="4" t="s">
        <v>28</v>
      </c>
      <c r="B349" s="4" t="s">
        <v>35</v>
      </c>
      <c r="C349" s="4" t="s">
        <v>23</v>
      </c>
      <c r="D349" s="4" t="s">
        <v>36</v>
      </c>
      <c r="E349" s="4" t="s">
        <v>25</v>
      </c>
      <c r="F349" s="4" t="s">
        <v>25</v>
      </c>
      <c r="G349" s="4" t="s">
        <v>25</v>
      </c>
      <c r="H349" s="4" t="s">
        <v>25</v>
      </c>
      <c r="I349" s="5">
        <v>44621</v>
      </c>
      <c r="J349" s="6">
        <v>0</v>
      </c>
      <c r="K349" s="6">
        <v>0</v>
      </c>
      <c r="L349" s="6">
        <v>0.3</v>
      </c>
      <c r="M349" s="6">
        <v>0.3</v>
      </c>
      <c r="N349" s="6">
        <v>0.3</v>
      </c>
      <c r="O349" s="6">
        <v>0.3</v>
      </c>
      <c r="P349" s="6">
        <v>3</v>
      </c>
      <c r="Q349" s="4" t="s">
        <v>26</v>
      </c>
      <c r="R349" s="4">
        <v>0</v>
      </c>
      <c r="S349" s="4" t="s">
        <v>279</v>
      </c>
      <c r="T349" s="4" t="s">
        <v>468</v>
      </c>
      <c r="U349" s="4">
        <v>0</v>
      </c>
      <c r="V349" s="4">
        <v>67</v>
      </c>
      <c r="W349" s="4">
        <v>39</v>
      </c>
    </row>
    <row r="350" spans="1:23" ht="11.25" customHeight="1" x14ac:dyDescent="0.3">
      <c r="A350" s="4" t="s">
        <v>21</v>
      </c>
      <c r="B350" s="4" t="s">
        <v>35</v>
      </c>
      <c r="C350" s="4" t="s">
        <v>23</v>
      </c>
      <c r="D350" s="4" t="s">
        <v>36</v>
      </c>
      <c r="E350" s="4" t="s">
        <v>25</v>
      </c>
      <c r="F350" s="4" t="s">
        <v>25</v>
      </c>
      <c r="G350" s="4" t="s">
        <v>25</v>
      </c>
      <c r="H350" s="4" t="s">
        <v>25</v>
      </c>
      <c r="I350" s="5">
        <v>44652</v>
      </c>
      <c r="J350" s="6">
        <v>0</v>
      </c>
      <c r="K350" s="6">
        <v>0</v>
      </c>
      <c r="L350" s="6">
        <v>36.091000000000001</v>
      </c>
      <c r="M350" s="6">
        <v>36.091000000000001</v>
      </c>
      <c r="N350" s="6">
        <v>36.091000000000001</v>
      </c>
      <c r="O350" s="6">
        <v>36.091000000000001</v>
      </c>
      <c r="P350" s="6">
        <v>42</v>
      </c>
      <c r="Q350" s="4" t="s">
        <v>26</v>
      </c>
      <c r="R350" s="4">
        <v>0</v>
      </c>
      <c r="S350" s="4" t="s">
        <v>280</v>
      </c>
      <c r="T350" s="4" t="s">
        <v>469</v>
      </c>
      <c r="U350" s="4">
        <v>0</v>
      </c>
      <c r="V350" s="4">
        <v>67</v>
      </c>
      <c r="W350" s="4">
        <v>39</v>
      </c>
    </row>
    <row r="351" spans="1:23" ht="11.25" customHeight="1" x14ac:dyDescent="0.3">
      <c r="A351" s="4" t="s">
        <v>28</v>
      </c>
      <c r="B351" s="4" t="s">
        <v>35</v>
      </c>
      <c r="C351" s="4" t="s">
        <v>23</v>
      </c>
      <c r="D351" s="4" t="s">
        <v>36</v>
      </c>
      <c r="E351" s="4" t="s">
        <v>25</v>
      </c>
      <c r="F351" s="4" t="s">
        <v>25</v>
      </c>
      <c r="G351" s="4" t="s">
        <v>25</v>
      </c>
      <c r="H351" s="4" t="s">
        <v>25</v>
      </c>
      <c r="I351" s="5">
        <v>44652</v>
      </c>
      <c r="J351" s="6">
        <v>0</v>
      </c>
      <c r="K351" s="6">
        <v>0</v>
      </c>
      <c r="L351" s="6">
        <v>2.2410000000000001</v>
      </c>
      <c r="M351" s="6">
        <v>2.2410000000000001</v>
      </c>
      <c r="N351" s="6">
        <v>2.2410000000000001</v>
      </c>
      <c r="O351" s="6">
        <v>2.2410000000000001</v>
      </c>
      <c r="P351" s="6">
        <v>3</v>
      </c>
      <c r="Q351" s="4" t="s">
        <v>26</v>
      </c>
      <c r="R351" s="4">
        <v>0</v>
      </c>
      <c r="S351" s="4" t="s">
        <v>280</v>
      </c>
      <c r="T351" s="4" t="s">
        <v>469</v>
      </c>
      <c r="U351" s="4">
        <v>0</v>
      </c>
      <c r="V351" s="4">
        <v>67</v>
      </c>
      <c r="W351" s="4">
        <v>39</v>
      </c>
    </row>
    <row r="352" spans="1:23" ht="11.25" customHeight="1" x14ac:dyDescent="0.3">
      <c r="A352" s="4" t="s">
        <v>21</v>
      </c>
      <c r="B352" s="4" t="s">
        <v>35</v>
      </c>
      <c r="C352" s="4" t="s">
        <v>23</v>
      </c>
      <c r="D352" s="4" t="s">
        <v>36</v>
      </c>
      <c r="E352" s="4" t="s">
        <v>25</v>
      </c>
      <c r="F352" s="4" t="s">
        <v>25</v>
      </c>
      <c r="G352" s="4" t="s">
        <v>25</v>
      </c>
      <c r="H352" s="4" t="s">
        <v>25</v>
      </c>
      <c r="I352" s="5">
        <v>44682</v>
      </c>
      <c r="J352" s="6">
        <v>0</v>
      </c>
      <c r="K352" s="6">
        <v>0</v>
      </c>
      <c r="L352" s="6">
        <v>36.68</v>
      </c>
      <c r="M352" s="6">
        <v>36.68</v>
      </c>
      <c r="N352" s="6">
        <v>36.68</v>
      </c>
      <c r="O352" s="6">
        <v>36.68</v>
      </c>
      <c r="P352" s="6">
        <v>42</v>
      </c>
      <c r="Q352" s="4" t="s">
        <v>26</v>
      </c>
      <c r="R352" s="4">
        <v>0</v>
      </c>
      <c r="S352" s="4" t="s">
        <v>281</v>
      </c>
      <c r="T352" s="4" t="s">
        <v>470</v>
      </c>
      <c r="U352" s="4">
        <v>0</v>
      </c>
      <c r="V352" s="4">
        <v>67</v>
      </c>
      <c r="W352" s="4">
        <v>39</v>
      </c>
    </row>
    <row r="353" spans="1:23" ht="11.25" customHeight="1" x14ac:dyDescent="0.3">
      <c r="A353" s="4" t="s">
        <v>28</v>
      </c>
      <c r="B353" s="4" t="s">
        <v>35</v>
      </c>
      <c r="C353" s="4" t="s">
        <v>23</v>
      </c>
      <c r="D353" s="4" t="s">
        <v>36</v>
      </c>
      <c r="E353" s="4" t="s">
        <v>25</v>
      </c>
      <c r="F353" s="4" t="s">
        <v>25</v>
      </c>
      <c r="G353" s="4" t="s">
        <v>25</v>
      </c>
      <c r="H353" s="4" t="s">
        <v>25</v>
      </c>
      <c r="I353" s="5">
        <v>44682</v>
      </c>
      <c r="J353" s="6">
        <v>0</v>
      </c>
      <c r="K353" s="6">
        <v>0</v>
      </c>
      <c r="L353" s="6">
        <v>4.1260000000000003</v>
      </c>
      <c r="M353" s="6">
        <v>4.1260000000000003</v>
      </c>
      <c r="N353" s="6">
        <v>4.1260000000000003</v>
      </c>
      <c r="O353" s="6">
        <v>4.1260000000000003</v>
      </c>
      <c r="P353" s="6">
        <v>3</v>
      </c>
      <c r="Q353" s="4" t="s">
        <v>26</v>
      </c>
      <c r="R353" s="4">
        <v>0</v>
      </c>
      <c r="S353" s="4" t="s">
        <v>281</v>
      </c>
      <c r="T353" s="4" t="s">
        <v>470</v>
      </c>
      <c r="U353" s="4">
        <v>0</v>
      </c>
      <c r="V353" s="4">
        <v>67</v>
      </c>
      <c r="W353" s="4">
        <v>39</v>
      </c>
    </row>
    <row r="354" spans="1:23" ht="11.25" customHeight="1" x14ac:dyDescent="0.3">
      <c r="A354" s="4" t="s">
        <v>21</v>
      </c>
      <c r="B354" s="4" t="s">
        <v>35</v>
      </c>
      <c r="C354" s="4" t="s">
        <v>23</v>
      </c>
      <c r="D354" s="4" t="s">
        <v>36</v>
      </c>
      <c r="E354" s="4" t="s">
        <v>25</v>
      </c>
      <c r="F354" s="4" t="s">
        <v>25</v>
      </c>
      <c r="G354" s="4" t="s">
        <v>25</v>
      </c>
      <c r="H354" s="4" t="s">
        <v>25</v>
      </c>
      <c r="I354" s="5">
        <v>44713</v>
      </c>
      <c r="J354" s="6">
        <v>0</v>
      </c>
      <c r="K354" s="6">
        <v>0</v>
      </c>
      <c r="L354" s="6">
        <v>40.014000000000003</v>
      </c>
      <c r="M354" s="6">
        <v>40.014000000000003</v>
      </c>
      <c r="N354" s="6">
        <v>40.014000000000003</v>
      </c>
      <c r="O354" s="6">
        <v>40.014000000000003</v>
      </c>
      <c r="P354" s="6">
        <v>44</v>
      </c>
      <c r="Q354" s="4" t="s">
        <v>26</v>
      </c>
      <c r="R354" s="4">
        <v>0</v>
      </c>
      <c r="S354" s="4" t="s">
        <v>282</v>
      </c>
      <c r="T354" s="4" t="s">
        <v>471</v>
      </c>
      <c r="U354" s="4">
        <v>0</v>
      </c>
      <c r="V354" s="4">
        <v>67</v>
      </c>
      <c r="W354" s="4">
        <v>39</v>
      </c>
    </row>
    <row r="355" spans="1:23" ht="11.25" customHeight="1" x14ac:dyDescent="0.3">
      <c r="A355" s="4" t="s">
        <v>21</v>
      </c>
      <c r="B355" s="4" t="s">
        <v>35</v>
      </c>
      <c r="C355" s="4" t="s">
        <v>23</v>
      </c>
      <c r="D355" s="4" t="s">
        <v>36</v>
      </c>
      <c r="E355" s="4" t="s">
        <v>25</v>
      </c>
      <c r="F355" s="4" t="s">
        <v>25</v>
      </c>
      <c r="G355" s="4" t="s">
        <v>25</v>
      </c>
      <c r="H355" s="4" t="s">
        <v>25</v>
      </c>
      <c r="I355" s="5">
        <v>44743</v>
      </c>
      <c r="J355" s="6">
        <v>0</v>
      </c>
      <c r="K355" s="6">
        <v>0</v>
      </c>
      <c r="L355" s="6">
        <v>32.512999999999998</v>
      </c>
      <c r="M355" s="6">
        <v>32.512999999999998</v>
      </c>
      <c r="N355" s="6">
        <v>32.512999999999998</v>
      </c>
      <c r="O355" s="6">
        <v>32.512999999999998</v>
      </c>
      <c r="P355" s="6">
        <v>44</v>
      </c>
      <c r="Q355" s="4" t="s">
        <v>26</v>
      </c>
      <c r="R355" s="4">
        <v>0</v>
      </c>
      <c r="S355" s="4" t="s">
        <v>283</v>
      </c>
      <c r="T355" s="4" t="s">
        <v>472</v>
      </c>
      <c r="U355" s="4">
        <v>0</v>
      </c>
      <c r="V355" s="4">
        <v>67</v>
      </c>
      <c r="W355" s="4">
        <v>39</v>
      </c>
    </row>
    <row r="356" spans="1:23" ht="11.25" customHeight="1" x14ac:dyDescent="0.3">
      <c r="A356" s="4" t="s">
        <v>28</v>
      </c>
      <c r="B356" s="4" t="s">
        <v>35</v>
      </c>
      <c r="C356" s="4" t="s">
        <v>23</v>
      </c>
      <c r="D356" s="4" t="s">
        <v>36</v>
      </c>
      <c r="E356" s="4" t="s">
        <v>25</v>
      </c>
      <c r="F356" s="4" t="s">
        <v>25</v>
      </c>
      <c r="G356" s="4" t="s">
        <v>25</v>
      </c>
      <c r="H356" s="4" t="s">
        <v>25</v>
      </c>
      <c r="I356" s="5">
        <v>44743</v>
      </c>
      <c r="J356" s="6">
        <v>0</v>
      </c>
      <c r="K356" s="6">
        <v>0</v>
      </c>
      <c r="L356" s="6">
        <v>6.4180000000000001</v>
      </c>
      <c r="M356" s="6">
        <v>6.4180000000000001</v>
      </c>
      <c r="N356" s="6">
        <v>6.4180000000000001</v>
      </c>
      <c r="O356" s="6">
        <v>6.4180000000000001</v>
      </c>
      <c r="P356" s="6">
        <v>3</v>
      </c>
      <c r="Q356" s="4" t="s">
        <v>26</v>
      </c>
      <c r="R356" s="4">
        <v>0</v>
      </c>
      <c r="S356" s="4" t="s">
        <v>283</v>
      </c>
      <c r="T356" s="4" t="s">
        <v>472</v>
      </c>
      <c r="U356" s="4">
        <v>0</v>
      </c>
      <c r="V356" s="4">
        <v>67</v>
      </c>
      <c r="W356" s="4">
        <v>39</v>
      </c>
    </row>
    <row r="357" spans="1:23" ht="11.25" customHeight="1" x14ac:dyDescent="0.3">
      <c r="A357" s="4" t="s">
        <v>21</v>
      </c>
      <c r="B357" s="4" t="s">
        <v>35</v>
      </c>
      <c r="C357" s="4" t="s">
        <v>23</v>
      </c>
      <c r="D357" s="4" t="s">
        <v>36</v>
      </c>
      <c r="E357" s="4" t="s">
        <v>25</v>
      </c>
      <c r="F357" s="4" t="s">
        <v>25</v>
      </c>
      <c r="G357" s="4" t="s">
        <v>25</v>
      </c>
      <c r="H357" s="4" t="s">
        <v>25</v>
      </c>
      <c r="I357" s="5">
        <v>44774</v>
      </c>
      <c r="J357" s="6">
        <v>0</v>
      </c>
      <c r="K357" s="6">
        <v>0</v>
      </c>
      <c r="L357" s="6">
        <v>39.868000000000002</v>
      </c>
      <c r="M357" s="6">
        <v>39.868000000000002</v>
      </c>
      <c r="N357" s="6">
        <v>39.868000000000002</v>
      </c>
      <c r="O357" s="6">
        <v>39.868000000000002</v>
      </c>
      <c r="P357" s="6">
        <v>44</v>
      </c>
      <c r="Q357" s="4" t="s">
        <v>26</v>
      </c>
      <c r="R357" s="4">
        <v>0</v>
      </c>
      <c r="S357" s="4" t="s">
        <v>284</v>
      </c>
      <c r="T357" s="4" t="s">
        <v>473</v>
      </c>
      <c r="U357" s="4">
        <v>0</v>
      </c>
      <c r="V357" s="4">
        <v>67</v>
      </c>
      <c r="W357" s="4">
        <v>39</v>
      </c>
    </row>
    <row r="358" spans="1:23" ht="11.25" customHeight="1" x14ac:dyDescent="0.3">
      <c r="A358" s="4" t="s">
        <v>28</v>
      </c>
      <c r="B358" s="4" t="s">
        <v>35</v>
      </c>
      <c r="C358" s="4" t="s">
        <v>23</v>
      </c>
      <c r="D358" s="4" t="s">
        <v>36</v>
      </c>
      <c r="E358" s="4" t="s">
        <v>25</v>
      </c>
      <c r="F358" s="4" t="s">
        <v>25</v>
      </c>
      <c r="G358" s="4" t="s">
        <v>25</v>
      </c>
      <c r="H358" s="4" t="s">
        <v>25</v>
      </c>
      <c r="I358" s="5">
        <v>44774</v>
      </c>
      <c r="J358" s="6">
        <v>0</v>
      </c>
      <c r="K358" s="6">
        <v>0</v>
      </c>
      <c r="L358" s="6">
        <v>7.0250000000000004</v>
      </c>
      <c r="M358" s="6">
        <v>7.0250000000000004</v>
      </c>
      <c r="N358" s="6">
        <v>7.0250000000000004</v>
      </c>
      <c r="O358" s="6">
        <v>7.0250000000000004</v>
      </c>
      <c r="P358" s="6">
        <v>3</v>
      </c>
      <c r="Q358" s="4" t="s">
        <v>26</v>
      </c>
      <c r="R358" s="4">
        <v>0</v>
      </c>
      <c r="S358" s="4" t="s">
        <v>284</v>
      </c>
      <c r="T358" s="4" t="s">
        <v>473</v>
      </c>
      <c r="U358" s="4">
        <v>0</v>
      </c>
      <c r="V358" s="4">
        <v>67</v>
      </c>
      <c r="W358" s="4">
        <v>39</v>
      </c>
    </row>
    <row r="359" spans="1:23" ht="11.25" customHeight="1" x14ac:dyDescent="0.3">
      <c r="A359" s="4" t="s">
        <v>21</v>
      </c>
      <c r="B359" s="4" t="s">
        <v>35</v>
      </c>
      <c r="C359" s="4" t="s">
        <v>23</v>
      </c>
      <c r="D359" s="4" t="s">
        <v>45</v>
      </c>
      <c r="E359" s="4" t="s">
        <v>25</v>
      </c>
      <c r="F359" s="4" t="s">
        <v>25</v>
      </c>
      <c r="G359" s="4" t="s">
        <v>25</v>
      </c>
      <c r="H359" s="4" t="s">
        <v>25</v>
      </c>
      <c r="I359" s="5">
        <v>44440</v>
      </c>
      <c r="J359" s="6">
        <v>0</v>
      </c>
      <c r="K359" s="6">
        <v>0</v>
      </c>
      <c r="L359" s="6">
        <v>21.353999999999999</v>
      </c>
      <c r="M359" s="6">
        <v>21.353999999999999</v>
      </c>
      <c r="N359" s="6">
        <v>21.353999999999999</v>
      </c>
      <c r="O359" s="6">
        <v>21.353999999999999</v>
      </c>
      <c r="P359" s="6">
        <v>90</v>
      </c>
      <c r="Q359" s="4" t="s">
        <v>26</v>
      </c>
      <c r="R359" s="4">
        <v>0</v>
      </c>
      <c r="S359" s="4" t="s">
        <v>273</v>
      </c>
      <c r="T359" s="4" t="s">
        <v>462</v>
      </c>
      <c r="U359" s="4">
        <v>0</v>
      </c>
      <c r="V359" s="4">
        <v>67</v>
      </c>
      <c r="W359" s="4">
        <v>39</v>
      </c>
    </row>
    <row r="360" spans="1:23" ht="11.25" customHeight="1" x14ac:dyDescent="0.3">
      <c r="A360" s="4" t="s">
        <v>21</v>
      </c>
      <c r="B360" s="4" t="s">
        <v>35</v>
      </c>
      <c r="C360" s="4" t="s">
        <v>23</v>
      </c>
      <c r="D360" s="4" t="s">
        <v>45</v>
      </c>
      <c r="E360" s="4" t="s">
        <v>25</v>
      </c>
      <c r="F360" s="4" t="s">
        <v>25</v>
      </c>
      <c r="G360" s="4" t="s">
        <v>25</v>
      </c>
      <c r="H360" s="4" t="s">
        <v>25</v>
      </c>
      <c r="I360" s="5">
        <v>44470</v>
      </c>
      <c r="J360" s="6">
        <v>0</v>
      </c>
      <c r="K360" s="6">
        <v>0</v>
      </c>
      <c r="L360" s="6">
        <v>20.651</v>
      </c>
      <c r="M360" s="6">
        <v>20.651</v>
      </c>
      <c r="N360" s="6">
        <v>20.651</v>
      </c>
      <c r="O360" s="6">
        <v>20.651</v>
      </c>
      <c r="P360" s="6">
        <v>90</v>
      </c>
      <c r="Q360" s="4" t="s">
        <v>26</v>
      </c>
      <c r="R360" s="4">
        <v>0</v>
      </c>
      <c r="S360" s="4" t="s">
        <v>274</v>
      </c>
      <c r="T360" s="4" t="s">
        <v>463</v>
      </c>
      <c r="U360" s="4">
        <v>0</v>
      </c>
      <c r="V360" s="4">
        <v>67</v>
      </c>
      <c r="W360" s="4">
        <v>39</v>
      </c>
    </row>
    <row r="361" spans="1:23" ht="11.25" customHeight="1" x14ac:dyDescent="0.3">
      <c r="A361" s="4" t="s">
        <v>21</v>
      </c>
      <c r="B361" s="4" t="s">
        <v>35</v>
      </c>
      <c r="C361" s="4" t="s">
        <v>23</v>
      </c>
      <c r="D361" s="4" t="s">
        <v>45</v>
      </c>
      <c r="E361" s="4" t="s">
        <v>25</v>
      </c>
      <c r="F361" s="4" t="s">
        <v>25</v>
      </c>
      <c r="G361" s="4" t="s">
        <v>25</v>
      </c>
      <c r="H361" s="4" t="s">
        <v>25</v>
      </c>
      <c r="I361" s="5">
        <v>44501</v>
      </c>
      <c r="J361" s="6">
        <v>0</v>
      </c>
      <c r="K361" s="6">
        <v>0</v>
      </c>
      <c r="L361" s="6">
        <v>20.763000000000002</v>
      </c>
      <c r="M361" s="6">
        <v>20.763000000000002</v>
      </c>
      <c r="N361" s="6">
        <v>20.763000000000002</v>
      </c>
      <c r="O361" s="6">
        <v>20.763000000000002</v>
      </c>
      <c r="P361" s="6">
        <v>91</v>
      </c>
      <c r="Q361" s="4" t="s">
        <v>26</v>
      </c>
      <c r="R361" s="4">
        <v>0</v>
      </c>
      <c r="S361" s="4" t="s">
        <v>275</v>
      </c>
      <c r="T361" s="4" t="s">
        <v>464</v>
      </c>
      <c r="U361" s="4">
        <v>0</v>
      </c>
      <c r="V361" s="4">
        <v>67</v>
      </c>
      <c r="W361" s="4">
        <v>39</v>
      </c>
    </row>
    <row r="362" spans="1:23" ht="11.25" customHeight="1" x14ac:dyDescent="0.3">
      <c r="A362" s="4" t="s">
        <v>21</v>
      </c>
      <c r="B362" s="4" t="s">
        <v>35</v>
      </c>
      <c r="C362" s="4" t="s">
        <v>23</v>
      </c>
      <c r="D362" s="4" t="s">
        <v>45</v>
      </c>
      <c r="E362" s="4" t="s">
        <v>25</v>
      </c>
      <c r="F362" s="4" t="s">
        <v>25</v>
      </c>
      <c r="G362" s="4" t="s">
        <v>25</v>
      </c>
      <c r="H362" s="4" t="s">
        <v>25</v>
      </c>
      <c r="I362" s="5">
        <v>44531</v>
      </c>
      <c r="J362" s="6">
        <v>0</v>
      </c>
      <c r="K362" s="6">
        <v>0</v>
      </c>
      <c r="L362" s="6">
        <v>19.356000000000002</v>
      </c>
      <c r="M362" s="6">
        <v>19.356000000000002</v>
      </c>
      <c r="N362" s="6">
        <v>19.356000000000002</v>
      </c>
      <c r="O362" s="6">
        <v>19.356000000000002</v>
      </c>
      <c r="P362" s="6">
        <v>93</v>
      </c>
      <c r="Q362" s="4" t="s">
        <v>26</v>
      </c>
      <c r="R362" s="4">
        <v>0</v>
      </c>
      <c r="S362" s="4" t="s">
        <v>276</v>
      </c>
      <c r="T362" s="4" t="s">
        <v>465</v>
      </c>
      <c r="U362" s="4">
        <v>0</v>
      </c>
      <c r="V362" s="4">
        <v>67</v>
      </c>
      <c r="W362" s="4">
        <v>39</v>
      </c>
    </row>
    <row r="363" spans="1:23" ht="11.25" customHeight="1" x14ac:dyDescent="0.3">
      <c r="A363" s="4" t="s">
        <v>21</v>
      </c>
      <c r="B363" s="4" t="s">
        <v>35</v>
      </c>
      <c r="C363" s="4" t="s">
        <v>23</v>
      </c>
      <c r="D363" s="4" t="s">
        <v>45</v>
      </c>
      <c r="E363" s="4" t="s">
        <v>25</v>
      </c>
      <c r="F363" s="4" t="s">
        <v>25</v>
      </c>
      <c r="G363" s="4" t="s">
        <v>25</v>
      </c>
      <c r="H363" s="4" t="s">
        <v>25</v>
      </c>
      <c r="I363" s="5">
        <v>44562</v>
      </c>
      <c r="J363" s="6">
        <v>0</v>
      </c>
      <c r="K363" s="6">
        <v>0</v>
      </c>
      <c r="L363" s="6">
        <v>18.238</v>
      </c>
      <c r="M363" s="6">
        <v>18.238</v>
      </c>
      <c r="N363" s="6">
        <v>18.238</v>
      </c>
      <c r="O363" s="6">
        <v>18.238</v>
      </c>
      <c r="P363" s="6">
        <v>93</v>
      </c>
      <c r="Q363" s="4" t="s">
        <v>26</v>
      </c>
      <c r="R363" s="4">
        <v>0</v>
      </c>
      <c r="S363" s="4" t="s">
        <v>277</v>
      </c>
      <c r="T363" s="4" t="s">
        <v>466</v>
      </c>
      <c r="U363" s="4">
        <v>0</v>
      </c>
      <c r="V363" s="4">
        <v>67</v>
      </c>
      <c r="W363" s="4">
        <v>39</v>
      </c>
    </row>
    <row r="364" spans="1:23" ht="11.25" customHeight="1" x14ac:dyDescent="0.3">
      <c r="A364" s="4" t="s">
        <v>21</v>
      </c>
      <c r="B364" s="4" t="s">
        <v>35</v>
      </c>
      <c r="C364" s="4" t="s">
        <v>23</v>
      </c>
      <c r="D364" s="4" t="s">
        <v>45</v>
      </c>
      <c r="E364" s="4" t="s">
        <v>25</v>
      </c>
      <c r="F364" s="4" t="s">
        <v>25</v>
      </c>
      <c r="G364" s="4" t="s">
        <v>25</v>
      </c>
      <c r="H364" s="4" t="s">
        <v>25</v>
      </c>
      <c r="I364" s="5">
        <v>44593</v>
      </c>
      <c r="J364" s="6">
        <v>0</v>
      </c>
      <c r="K364" s="6">
        <v>0</v>
      </c>
      <c r="L364" s="6">
        <v>21.077000000000002</v>
      </c>
      <c r="M364" s="6">
        <v>21.077000000000002</v>
      </c>
      <c r="N364" s="6">
        <v>21.077000000000002</v>
      </c>
      <c r="O364" s="6">
        <v>21.077000000000002</v>
      </c>
      <c r="P364" s="6">
        <v>92</v>
      </c>
      <c r="Q364" s="4" t="s">
        <v>26</v>
      </c>
      <c r="R364" s="4">
        <v>0</v>
      </c>
      <c r="S364" s="4" t="s">
        <v>278</v>
      </c>
      <c r="T364" s="4" t="s">
        <v>467</v>
      </c>
      <c r="U364" s="4">
        <v>0</v>
      </c>
      <c r="V364" s="4">
        <v>67</v>
      </c>
      <c r="W364" s="4">
        <v>39</v>
      </c>
    </row>
    <row r="365" spans="1:23" ht="11.25" customHeight="1" x14ac:dyDescent="0.3">
      <c r="A365" s="4" t="s">
        <v>21</v>
      </c>
      <c r="B365" s="4" t="s">
        <v>35</v>
      </c>
      <c r="C365" s="4" t="s">
        <v>23</v>
      </c>
      <c r="D365" s="4" t="s">
        <v>45</v>
      </c>
      <c r="E365" s="4" t="s">
        <v>25</v>
      </c>
      <c r="F365" s="4" t="s">
        <v>25</v>
      </c>
      <c r="G365" s="4" t="s">
        <v>25</v>
      </c>
      <c r="H365" s="4" t="s">
        <v>25</v>
      </c>
      <c r="I365" s="5">
        <v>44621</v>
      </c>
      <c r="J365" s="6">
        <v>0</v>
      </c>
      <c r="K365" s="6">
        <v>0</v>
      </c>
      <c r="L365" s="6">
        <v>30.733000000000001</v>
      </c>
      <c r="M365" s="6">
        <v>30.733000000000001</v>
      </c>
      <c r="N365" s="6">
        <v>30.733000000000001</v>
      </c>
      <c r="O365" s="6">
        <v>30.733000000000001</v>
      </c>
      <c r="P365" s="6">
        <v>93</v>
      </c>
      <c r="Q365" s="4" t="s">
        <v>26</v>
      </c>
      <c r="R365" s="4">
        <v>0</v>
      </c>
      <c r="S365" s="4" t="s">
        <v>279</v>
      </c>
      <c r="T365" s="4" t="s">
        <v>468</v>
      </c>
      <c r="U365" s="4">
        <v>0</v>
      </c>
      <c r="V365" s="4">
        <v>67</v>
      </c>
      <c r="W365" s="4">
        <v>39</v>
      </c>
    </row>
    <row r="366" spans="1:23" ht="11.25" customHeight="1" x14ac:dyDescent="0.3">
      <c r="A366" s="4" t="s">
        <v>21</v>
      </c>
      <c r="B366" s="4" t="s">
        <v>35</v>
      </c>
      <c r="C366" s="4" t="s">
        <v>23</v>
      </c>
      <c r="D366" s="4" t="s">
        <v>45</v>
      </c>
      <c r="E366" s="4" t="s">
        <v>25</v>
      </c>
      <c r="F366" s="4" t="s">
        <v>25</v>
      </c>
      <c r="G366" s="4" t="s">
        <v>25</v>
      </c>
      <c r="H366" s="4" t="s">
        <v>25</v>
      </c>
      <c r="I366" s="5">
        <v>44652</v>
      </c>
      <c r="J366" s="6">
        <v>0</v>
      </c>
      <c r="K366" s="6">
        <v>0</v>
      </c>
      <c r="L366" s="6">
        <v>25.068999999999999</v>
      </c>
      <c r="M366" s="6">
        <v>25.068999999999999</v>
      </c>
      <c r="N366" s="6">
        <v>25.068999999999999</v>
      </c>
      <c r="O366" s="6">
        <v>25.068999999999999</v>
      </c>
      <c r="P366" s="6">
        <v>93</v>
      </c>
      <c r="Q366" s="4" t="s">
        <v>26</v>
      </c>
      <c r="R366" s="4">
        <v>0</v>
      </c>
      <c r="S366" s="4" t="s">
        <v>280</v>
      </c>
      <c r="T366" s="4" t="s">
        <v>469</v>
      </c>
      <c r="U366" s="4">
        <v>0</v>
      </c>
      <c r="V366" s="4">
        <v>67</v>
      </c>
      <c r="W366" s="4">
        <v>39</v>
      </c>
    </row>
    <row r="367" spans="1:23" ht="11.25" customHeight="1" x14ac:dyDescent="0.3">
      <c r="A367" s="4" t="s">
        <v>21</v>
      </c>
      <c r="B367" s="4" t="s">
        <v>35</v>
      </c>
      <c r="C367" s="4" t="s">
        <v>23</v>
      </c>
      <c r="D367" s="4" t="s">
        <v>45</v>
      </c>
      <c r="E367" s="4" t="s">
        <v>25</v>
      </c>
      <c r="F367" s="4" t="s">
        <v>25</v>
      </c>
      <c r="G367" s="4" t="s">
        <v>25</v>
      </c>
      <c r="H367" s="4" t="s">
        <v>25</v>
      </c>
      <c r="I367" s="5">
        <v>44682</v>
      </c>
      <c r="J367" s="6">
        <v>0</v>
      </c>
      <c r="K367" s="6">
        <v>0</v>
      </c>
      <c r="L367" s="6">
        <v>21.931000000000001</v>
      </c>
      <c r="M367" s="6">
        <v>21.931000000000001</v>
      </c>
      <c r="N367" s="6">
        <v>21.931000000000001</v>
      </c>
      <c r="O367" s="6">
        <v>21.931000000000001</v>
      </c>
      <c r="P367" s="6">
        <v>93</v>
      </c>
      <c r="Q367" s="4" t="s">
        <v>26</v>
      </c>
      <c r="R367" s="4">
        <v>0</v>
      </c>
      <c r="S367" s="4" t="s">
        <v>281</v>
      </c>
      <c r="T367" s="4" t="s">
        <v>470</v>
      </c>
      <c r="U367" s="4">
        <v>0</v>
      </c>
      <c r="V367" s="4">
        <v>67</v>
      </c>
      <c r="W367" s="4">
        <v>39</v>
      </c>
    </row>
    <row r="368" spans="1:23" ht="11.25" customHeight="1" x14ac:dyDescent="0.3">
      <c r="A368" s="4" t="s">
        <v>21</v>
      </c>
      <c r="B368" s="4" t="s">
        <v>35</v>
      </c>
      <c r="C368" s="4" t="s">
        <v>23</v>
      </c>
      <c r="D368" s="4" t="s">
        <v>45</v>
      </c>
      <c r="E368" s="4" t="s">
        <v>25</v>
      </c>
      <c r="F368" s="4" t="s">
        <v>25</v>
      </c>
      <c r="G368" s="4" t="s">
        <v>25</v>
      </c>
      <c r="H368" s="4" t="s">
        <v>25</v>
      </c>
      <c r="I368" s="5">
        <v>44713</v>
      </c>
      <c r="J368" s="6">
        <v>0</v>
      </c>
      <c r="K368" s="6">
        <v>0</v>
      </c>
      <c r="L368" s="6">
        <v>23.603999999999999</v>
      </c>
      <c r="M368" s="6">
        <v>23.603999999999999</v>
      </c>
      <c r="N368" s="6">
        <v>23.603999999999999</v>
      </c>
      <c r="O368" s="6">
        <v>23.603999999999999</v>
      </c>
      <c r="P368" s="6">
        <v>92</v>
      </c>
      <c r="Q368" s="4" t="s">
        <v>26</v>
      </c>
      <c r="R368" s="4">
        <v>0</v>
      </c>
      <c r="S368" s="4" t="s">
        <v>282</v>
      </c>
      <c r="T368" s="4" t="s">
        <v>471</v>
      </c>
      <c r="U368" s="4">
        <v>0</v>
      </c>
      <c r="V368" s="4">
        <v>67</v>
      </c>
      <c r="W368" s="4">
        <v>39</v>
      </c>
    </row>
    <row r="369" spans="1:23" ht="11.25" customHeight="1" x14ac:dyDescent="0.3">
      <c r="A369" s="4" t="s">
        <v>21</v>
      </c>
      <c r="B369" s="4" t="s">
        <v>35</v>
      </c>
      <c r="C369" s="4" t="s">
        <v>23</v>
      </c>
      <c r="D369" s="4" t="s">
        <v>45</v>
      </c>
      <c r="E369" s="4" t="s">
        <v>25</v>
      </c>
      <c r="F369" s="4" t="s">
        <v>25</v>
      </c>
      <c r="G369" s="4" t="s">
        <v>25</v>
      </c>
      <c r="H369" s="4" t="s">
        <v>25</v>
      </c>
      <c r="I369" s="5">
        <v>44743</v>
      </c>
      <c r="J369" s="6">
        <v>0</v>
      </c>
      <c r="K369" s="6">
        <v>0</v>
      </c>
      <c r="L369" s="6">
        <v>21.2</v>
      </c>
      <c r="M369" s="6">
        <v>21.2</v>
      </c>
      <c r="N369" s="6">
        <v>21.2</v>
      </c>
      <c r="O369" s="6">
        <v>21.2</v>
      </c>
      <c r="P369" s="6">
        <v>92</v>
      </c>
      <c r="Q369" s="4" t="s">
        <v>26</v>
      </c>
      <c r="R369" s="4">
        <v>0</v>
      </c>
      <c r="S369" s="4" t="s">
        <v>283</v>
      </c>
      <c r="T369" s="4" t="s">
        <v>472</v>
      </c>
      <c r="U369" s="4">
        <v>0</v>
      </c>
      <c r="V369" s="4">
        <v>67</v>
      </c>
      <c r="W369" s="4">
        <v>39</v>
      </c>
    </row>
    <row r="370" spans="1:23" ht="11.25" customHeight="1" x14ac:dyDescent="0.3">
      <c r="A370" s="4" t="s">
        <v>21</v>
      </c>
      <c r="B370" s="4" t="s">
        <v>35</v>
      </c>
      <c r="C370" s="4" t="s">
        <v>23</v>
      </c>
      <c r="D370" s="4" t="s">
        <v>45</v>
      </c>
      <c r="E370" s="4" t="s">
        <v>25</v>
      </c>
      <c r="F370" s="4" t="s">
        <v>25</v>
      </c>
      <c r="G370" s="4" t="s">
        <v>25</v>
      </c>
      <c r="H370" s="4" t="s">
        <v>25</v>
      </c>
      <c r="I370" s="5">
        <v>44774</v>
      </c>
      <c r="J370" s="6">
        <v>0</v>
      </c>
      <c r="K370" s="6">
        <v>0</v>
      </c>
      <c r="L370" s="6">
        <v>21.1</v>
      </c>
      <c r="M370" s="6">
        <v>21.1</v>
      </c>
      <c r="N370" s="6">
        <v>21.1</v>
      </c>
      <c r="O370" s="6">
        <v>21.1</v>
      </c>
      <c r="P370" s="6">
        <v>92</v>
      </c>
      <c r="Q370" s="4" t="s">
        <v>26</v>
      </c>
      <c r="R370" s="4">
        <v>0</v>
      </c>
      <c r="S370" s="4" t="s">
        <v>284</v>
      </c>
      <c r="T370" s="4" t="s">
        <v>473</v>
      </c>
      <c r="U370" s="4">
        <v>0</v>
      </c>
      <c r="V370" s="4">
        <v>67</v>
      </c>
      <c r="W370" s="4">
        <v>39</v>
      </c>
    </row>
    <row r="371" spans="1:23" ht="11.25" customHeight="1" x14ac:dyDescent="0.3">
      <c r="A371" s="4" t="s">
        <v>21</v>
      </c>
      <c r="B371" s="4" t="s">
        <v>35</v>
      </c>
      <c r="C371" s="4" t="s">
        <v>23</v>
      </c>
      <c r="D371" s="4" t="s">
        <v>50</v>
      </c>
      <c r="E371" s="4" t="s">
        <v>51</v>
      </c>
      <c r="F371" s="4" t="s">
        <v>25</v>
      </c>
      <c r="G371" s="4" t="s">
        <v>25</v>
      </c>
      <c r="H371" s="4" t="s">
        <v>25</v>
      </c>
      <c r="I371" s="5">
        <v>44440</v>
      </c>
      <c r="J371" s="6">
        <v>0</v>
      </c>
      <c r="K371" s="6">
        <v>0</v>
      </c>
      <c r="L371" s="6">
        <v>8.86</v>
      </c>
      <c r="M371" s="6">
        <v>8.3283999999999985</v>
      </c>
      <c r="N371" s="6">
        <v>8.86</v>
      </c>
      <c r="O371" s="6">
        <v>8.3283999999999985</v>
      </c>
      <c r="P371" s="6">
        <v>5</v>
      </c>
      <c r="Q371" s="4" t="s">
        <v>26</v>
      </c>
      <c r="R371" s="4">
        <v>0</v>
      </c>
      <c r="S371" s="4" t="s">
        <v>273</v>
      </c>
      <c r="T371" s="4" t="s">
        <v>462</v>
      </c>
      <c r="U371" s="4">
        <v>0</v>
      </c>
      <c r="V371" s="4">
        <v>67</v>
      </c>
      <c r="W371" s="4">
        <v>39</v>
      </c>
    </row>
    <row r="372" spans="1:23" ht="11.25" customHeight="1" x14ac:dyDescent="0.3">
      <c r="A372" s="4" t="s">
        <v>21</v>
      </c>
      <c r="B372" s="4" t="s">
        <v>35</v>
      </c>
      <c r="C372" s="4" t="s">
        <v>23</v>
      </c>
      <c r="D372" s="4" t="s">
        <v>50</v>
      </c>
      <c r="E372" s="4" t="s">
        <v>51</v>
      </c>
      <c r="F372" s="4" t="s">
        <v>25</v>
      </c>
      <c r="G372" s="4" t="s">
        <v>25</v>
      </c>
      <c r="H372" s="4" t="s">
        <v>25</v>
      </c>
      <c r="I372" s="5">
        <v>44470</v>
      </c>
      <c r="J372" s="6">
        <v>0</v>
      </c>
      <c r="K372" s="6">
        <v>0</v>
      </c>
      <c r="L372" s="6">
        <v>8.4420000000000002</v>
      </c>
      <c r="M372" s="6">
        <v>7.9354800000000001</v>
      </c>
      <c r="N372" s="6">
        <v>8.4420000000000002</v>
      </c>
      <c r="O372" s="6">
        <v>7.9354800000000001</v>
      </c>
      <c r="P372" s="6">
        <v>5</v>
      </c>
      <c r="Q372" s="4" t="s">
        <v>26</v>
      </c>
      <c r="R372" s="4">
        <v>0</v>
      </c>
      <c r="S372" s="4" t="s">
        <v>274</v>
      </c>
      <c r="T372" s="4" t="s">
        <v>463</v>
      </c>
      <c r="U372" s="4">
        <v>0</v>
      </c>
      <c r="V372" s="4">
        <v>67</v>
      </c>
      <c r="W372" s="4">
        <v>39</v>
      </c>
    </row>
    <row r="373" spans="1:23" ht="11.25" customHeight="1" x14ac:dyDescent="0.3">
      <c r="A373" s="4" t="s">
        <v>21</v>
      </c>
      <c r="B373" s="4" t="s">
        <v>35</v>
      </c>
      <c r="C373" s="4" t="s">
        <v>23</v>
      </c>
      <c r="D373" s="4" t="s">
        <v>50</v>
      </c>
      <c r="E373" s="4" t="s">
        <v>51</v>
      </c>
      <c r="F373" s="4" t="s">
        <v>25</v>
      </c>
      <c r="G373" s="4" t="s">
        <v>25</v>
      </c>
      <c r="H373" s="4" t="s">
        <v>25</v>
      </c>
      <c r="I373" s="5">
        <v>44501</v>
      </c>
      <c r="J373" s="6">
        <v>0</v>
      </c>
      <c r="K373" s="6">
        <v>0</v>
      </c>
      <c r="L373" s="6">
        <v>7.4219999999999997</v>
      </c>
      <c r="M373" s="6">
        <v>6.9766799999999991</v>
      </c>
      <c r="N373" s="6">
        <v>7.4219999999999997</v>
      </c>
      <c r="O373" s="6">
        <v>6.9766799999999991</v>
      </c>
      <c r="P373" s="6">
        <v>5</v>
      </c>
      <c r="Q373" s="4" t="s">
        <v>26</v>
      </c>
      <c r="R373" s="4">
        <v>0</v>
      </c>
      <c r="S373" s="4" t="s">
        <v>275</v>
      </c>
      <c r="T373" s="4" t="s">
        <v>464</v>
      </c>
      <c r="U373" s="4">
        <v>0</v>
      </c>
      <c r="V373" s="4">
        <v>67</v>
      </c>
      <c r="W373" s="4">
        <v>39</v>
      </c>
    </row>
    <row r="374" spans="1:23" ht="11.25" customHeight="1" x14ac:dyDescent="0.3">
      <c r="A374" s="4" t="s">
        <v>21</v>
      </c>
      <c r="B374" s="4" t="s">
        <v>35</v>
      </c>
      <c r="C374" s="4" t="s">
        <v>23</v>
      </c>
      <c r="D374" s="4" t="s">
        <v>50</v>
      </c>
      <c r="E374" s="4" t="s">
        <v>51</v>
      </c>
      <c r="F374" s="4" t="s">
        <v>25</v>
      </c>
      <c r="G374" s="4" t="s">
        <v>25</v>
      </c>
      <c r="H374" s="4" t="s">
        <v>25</v>
      </c>
      <c r="I374" s="5">
        <v>44531</v>
      </c>
      <c r="J374" s="6">
        <v>0</v>
      </c>
      <c r="K374" s="6">
        <v>0</v>
      </c>
      <c r="L374" s="6">
        <v>6.89</v>
      </c>
      <c r="M374" s="6">
        <v>6.4765999999999995</v>
      </c>
      <c r="N374" s="6">
        <v>6.89</v>
      </c>
      <c r="O374" s="6">
        <v>6.4765999999999995</v>
      </c>
      <c r="P374" s="6">
        <v>5</v>
      </c>
      <c r="Q374" s="4" t="s">
        <v>26</v>
      </c>
      <c r="R374" s="4">
        <v>0</v>
      </c>
      <c r="S374" s="4" t="s">
        <v>276</v>
      </c>
      <c r="T374" s="4" t="s">
        <v>465</v>
      </c>
      <c r="U374" s="4">
        <v>0</v>
      </c>
      <c r="V374" s="4">
        <v>67</v>
      </c>
      <c r="W374" s="4">
        <v>39</v>
      </c>
    </row>
    <row r="375" spans="1:23" ht="11.25" customHeight="1" x14ac:dyDescent="0.3">
      <c r="A375" s="4" t="s">
        <v>21</v>
      </c>
      <c r="B375" s="4" t="s">
        <v>35</v>
      </c>
      <c r="C375" s="4" t="s">
        <v>23</v>
      </c>
      <c r="D375" s="4" t="s">
        <v>50</v>
      </c>
      <c r="E375" s="4" t="s">
        <v>51</v>
      </c>
      <c r="F375" s="4" t="s">
        <v>25</v>
      </c>
      <c r="G375" s="4" t="s">
        <v>25</v>
      </c>
      <c r="H375" s="4" t="s">
        <v>25</v>
      </c>
      <c r="I375" s="5">
        <v>44562</v>
      </c>
      <c r="J375" s="6">
        <v>0</v>
      </c>
      <c r="K375" s="6">
        <v>0</v>
      </c>
      <c r="L375" s="6">
        <v>6.3129999999999997</v>
      </c>
      <c r="M375" s="6">
        <v>5.9342199999999998</v>
      </c>
      <c r="N375" s="6">
        <v>6.3129999999999997</v>
      </c>
      <c r="O375" s="6">
        <v>5.9342199999999998</v>
      </c>
      <c r="P375" s="6">
        <v>5</v>
      </c>
      <c r="Q375" s="4" t="s">
        <v>26</v>
      </c>
      <c r="R375" s="4">
        <v>0</v>
      </c>
      <c r="S375" s="4" t="s">
        <v>277</v>
      </c>
      <c r="T375" s="4" t="s">
        <v>466</v>
      </c>
      <c r="U375" s="4">
        <v>0</v>
      </c>
      <c r="V375" s="4">
        <v>67</v>
      </c>
      <c r="W375" s="4">
        <v>39</v>
      </c>
    </row>
    <row r="376" spans="1:23" ht="11.25" customHeight="1" x14ac:dyDescent="0.3">
      <c r="A376" s="4" t="s">
        <v>21</v>
      </c>
      <c r="B376" s="4" t="s">
        <v>35</v>
      </c>
      <c r="C376" s="4" t="s">
        <v>23</v>
      </c>
      <c r="D376" s="4" t="s">
        <v>50</v>
      </c>
      <c r="E376" s="4" t="s">
        <v>51</v>
      </c>
      <c r="F376" s="4" t="s">
        <v>25</v>
      </c>
      <c r="G376" s="4" t="s">
        <v>25</v>
      </c>
      <c r="H376" s="4" t="s">
        <v>25</v>
      </c>
      <c r="I376" s="5">
        <v>44593</v>
      </c>
      <c r="J376" s="6">
        <v>0</v>
      </c>
      <c r="K376" s="6">
        <v>0</v>
      </c>
      <c r="L376" s="6">
        <v>4.319</v>
      </c>
      <c r="M376" s="6">
        <v>4.0598599999999996</v>
      </c>
      <c r="N376" s="6">
        <v>4.319</v>
      </c>
      <c r="O376" s="6">
        <v>4.0598599999999996</v>
      </c>
      <c r="P376" s="6">
        <v>5</v>
      </c>
      <c r="Q376" s="4" t="s">
        <v>26</v>
      </c>
      <c r="R376" s="4">
        <v>0</v>
      </c>
      <c r="S376" s="4" t="s">
        <v>278</v>
      </c>
      <c r="T376" s="4" t="s">
        <v>467</v>
      </c>
      <c r="U376" s="4">
        <v>0</v>
      </c>
      <c r="V376" s="4">
        <v>67</v>
      </c>
      <c r="W376" s="4">
        <v>39</v>
      </c>
    </row>
    <row r="377" spans="1:23" ht="11.25" customHeight="1" x14ac:dyDescent="0.3">
      <c r="A377" s="4" t="s">
        <v>21</v>
      </c>
      <c r="B377" s="4" t="s">
        <v>35</v>
      </c>
      <c r="C377" s="4" t="s">
        <v>23</v>
      </c>
      <c r="D377" s="4" t="s">
        <v>50</v>
      </c>
      <c r="E377" s="4" t="s">
        <v>51</v>
      </c>
      <c r="F377" s="4" t="s">
        <v>25</v>
      </c>
      <c r="G377" s="4" t="s">
        <v>25</v>
      </c>
      <c r="H377" s="4" t="s">
        <v>25</v>
      </c>
      <c r="I377" s="5">
        <v>44621</v>
      </c>
      <c r="J377" s="6">
        <v>0</v>
      </c>
      <c r="K377" s="6">
        <v>0</v>
      </c>
      <c r="L377" s="6">
        <v>3.2589999999999999</v>
      </c>
      <c r="M377" s="6">
        <v>3.0634599999999996</v>
      </c>
      <c r="N377" s="6">
        <v>3.2589999999999999</v>
      </c>
      <c r="O377" s="6">
        <v>3.0634599999999996</v>
      </c>
      <c r="P377" s="6">
        <v>5</v>
      </c>
      <c r="Q377" s="4" t="s">
        <v>26</v>
      </c>
      <c r="R377" s="4">
        <v>0</v>
      </c>
      <c r="S377" s="4" t="s">
        <v>279</v>
      </c>
      <c r="T377" s="4" t="s">
        <v>468</v>
      </c>
      <c r="U377" s="4">
        <v>0</v>
      </c>
      <c r="V377" s="4">
        <v>67</v>
      </c>
      <c r="W377" s="4">
        <v>39</v>
      </c>
    </row>
    <row r="378" spans="1:23" ht="11.25" customHeight="1" x14ac:dyDescent="0.3">
      <c r="A378" s="4" t="s">
        <v>21</v>
      </c>
      <c r="B378" s="4" t="s">
        <v>35</v>
      </c>
      <c r="C378" s="4" t="s">
        <v>23</v>
      </c>
      <c r="D378" s="4" t="s">
        <v>50</v>
      </c>
      <c r="E378" s="4" t="s">
        <v>51</v>
      </c>
      <c r="F378" s="4" t="s">
        <v>25</v>
      </c>
      <c r="G378" s="4" t="s">
        <v>25</v>
      </c>
      <c r="H378" s="4" t="s">
        <v>25</v>
      </c>
      <c r="I378" s="5">
        <v>44652</v>
      </c>
      <c r="J378" s="6">
        <v>0</v>
      </c>
      <c r="K378" s="6">
        <v>0</v>
      </c>
      <c r="L378" s="6">
        <v>3.5129999999999999</v>
      </c>
      <c r="M378" s="6">
        <v>3.3022199999999997</v>
      </c>
      <c r="N378" s="6">
        <v>3.5129999999999999</v>
      </c>
      <c r="O378" s="6">
        <v>3.3022199999999997</v>
      </c>
      <c r="P378" s="6">
        <v>5</v>
      </c>
      <c r="Q378" s="4" t="s">
        <v>26</v>
      </c>
      <c r="R378" s="4">
        <v>0</v>
      </c>
      <c r="S378" s="4" t="s">
        <v>280</v>
      </c>
      <c r="T378" s="4" t="s">
        <v>469</v>
      </c>
      <c r="U378" s="4">
        <v>0</v>
      </c>
      <c r="V378" s="4">
        <v>67</v>
      </c>
      <c r="W378" s="4">
        <v>39</v>
      </c>
    </row>
    <row r="379" spans="1:23" ht="11.25" customHeight="1" x14ac:dyDescent="0.3">
      <c r="A379" s="4" t="s">
        <v>21</v>
      </c>
      <c r="B379" s="4" t="s">
        <v>35</v>
      </c>
      <c r="C379" s="4" t="s">
        <v>23</v>
      </c>
      <c r="D379" s="4" t="s">
        <v>50</v>
      </c>
      <c r="E379" s="4" t="s">
        <v>51</v>
      </c>
      <c r="F379" s="4" t="s">
        <v>25</v>
      </c>
      <c r="G379" s="4" t="s">
        <v>25</v>
      </c>
      <c r="H379" s="4" t="s">
        <v>25</v>
      </c>
      <c r="I379" s="5">
        <v>44682</v>
      </c>
      <c r="J379" s="6">
        <v>0</v>
      </c>
      <c r="K379" s="6">
        <v>0</v>
      </c>
      <c r="L379" s="6">
        <v>4.3680000000000003</v>
      </c>
      <c r="M379" s="6">
        <v>4.1059200000000002</v>
      </c>
      <c r="N379" s="6">
        <v>4.3680000000000003</v>
      </c>
      <c r="O379" s="6">
        <v>4.1059200000000002</v>
      </c>
      <c r="P379" s="6">
        <v>5</v>
      </c>
      <c r="Q379" s="4" t="s">
        <v>26</v>
      </c>
      <c r="R379" s="4">
        <v>0</v>
      </c>
      <c r="S379" s="4" t="s">
        <v>281</v>
      </c>
      <c r="T379" s="4" t="s">
        <v>470</v>
      </c>
      <c r="U379" s="4">
        <v>0</v>
      </c>
      <c r="V379" s="4">
        <v>67</v>
      </c>
      <c r="W379" s="4">
        <v>39</v>
      </c>
    </row>
    <row r="380" spans="1:23" ht="11.25" customHeight="1" x14ac:dyDescent="0.3">
      <c r="A380" s="4" t="s">
        <v>21</v>
      </c>
      <c r="B380" s="4" t="s">
        <v>35</v>
      </c>
      <c r="C380" s="4" t="s">
        <v>23</v>
      </c>
      <c r="D380" s="4" t="s">
        <v>50</v>
      </c>
      <c r="E380" s="4" t="s">
        <v>51</v>
      </c>
      <c r="F380" s="4" t="s">
        <v>25</v>
      </c>
      <c r="G380" s="4" t="s">
        <v>25</v>
      </c>
      <c r="H380" s="4" t="s">
        <v>25</v>
      </c>
      <c r="I380" s="5">
        <v>44713</v>
      </c>
      <c r="J380" s="6">
        <v>0</v>
      </c>
      <c r="K380" s="6">
        <v>0</v>
      </c>
      <c r="L380" s="6">
        <v>3.9340000000000002</v>
      </c>
      <c r="M380" s="6">
        <v>3.6979600000000001</v>
      </c>
      <c r="N380" s="6">
        <v>3.9340000000000002</v>
      </c>
      <c r="O380" s="6">
        <v>3.6979600000000001</v>
      </c>
      <c r="P380" s="6">
        <v>5</v>
      </c>
      <c r="Q380" s="4" t="s">
        <v>26</v>
      </c>
      <c r="R380" s="4">
        <v>0</v>
      </c>
      <c r="S380" s="4" t="s">
        <v>282</v>
      </c>
      <c r="T380" s="4" t="s">
        <v>471</v>
      </c>
      <c r="U380" s="4">
        <v>0</v>
      </c>
      <c r="V380" s="4">
        <v>67</v>
      </c>
      <c r="W380" s="4">
        <v>39</v>
      </c>
    </row>
    <row r="381" spans="1:23" ht="11.25" customHeight="1" x14ac:dyDescent="0.3">
      <c r="A381" s="4" t="s">
        <v>21</v>
      </c>
      <c r="B381" s="4" t="s">
        <v>35</v>
      </c>
      <c r="C381" s="4" t="s">
        <v>23</v>
      </c>
      <c r="D381" s="4" t="s">
        <v>50</v>
      </c>
      <c r="E381" s="4" t="s">
        <v>51</v>
      </c>
      <c r="F381" s="4" t="s">
        <v>25</v>
      </c>
      <c r="G381" s="4" t="s">
        <v>25</v>
      </c>
      <c r="H381" s="4" t="s">
        <v>25</v>
      </c>
      <c r="I381" s="5">
        <v>44743</v>
      </c>
      <c r="J381" s="6">
        <v>0</v>
      </c>
      <c r="K381" s="6">
        <v>0</v>
      </c>
      <c r="L381" s="6">
        <v>3.6429999999999998</v>
      </c>
      <c r="M381" s="6">
        <v>3.4244199999999996</v>
      </c>
      <c r="N381" s="6">
        <v>3.6429999999999998</v>
      </c>
      <c r="O381" s="6">
        <v>3.4244199999999996</v>
      </c>
      <c r="P381" s="6">
        <v>5</v>
      </c>
      <c r="Q381" s="4" t="s">
        <v>26</v>
      </c>
      <c r="R381" s="4">
        <v>0</v>
      </c>
      <c r="S381" s="4" t="s">
        <v>283</v>
      </c>
      <c r="T381" s="4" t="s">
        <v>472</v>
      </c>
      <c r="U381" s="4">
        <v>0</v>
      </c>
      <c r="V381" s="4">
        <v>67</v>
      </c>
      <c r="W381" s="4">
        <v>39</v>
      </c>
    </row>
    <row r="382" spans="1:23" ht="11.25" customHeight="1" x14ac:dyDescent="0.3">
      <c r="A382" s="4" t="s">
        <v>21</v>
      </c>
      <c r="B382" s="4" t="s">
        <v>35</v>
      </c>
      <c r="C382" s="4" t="s">
        <v>23</v>
      </c>
      <c r="D382" s="4" t="s">
        <v>50</v>
      </c>
      <c r="E382" s="4" t="s">
        <v>51</v>
      </c>
      <c r="F382" s="4" t="s">
        <v>25</v>
      </c>
      <c r="G382" s="4" t="s">
        <v>25</v>
      </c>
      <c r="H382" s="4" t="s">
        <v>25</v>
      </c>
      <c r="I382" s="5">
        <v>44774</v>
      </c>
      <c r="J382" s="6">
        <v>0</v>
      </c>
      <c r="K382" s="6">
        <v>0</v>
      </c>
      <c r="L382" s="6">
        <v>3.62</v>
      </c>
      <c r="M382" s="6">
        <v>3.4028</v>
      </c>
      <c r="N382" s="6">
        <v>3.62</v>
      </c>
      <c r="O382" s="6">
        <v>3.4028</v>
      </c>
      <c r="P382" s="6">
        <v>5</v>
      </c>
      <c r="Q382" s="4" t="s">
        <v>26</v>
      </c>
      <c r="R382" s="4">
        <v>0</v>
      </c>
      <c r="S382" s="4" t="s">
        <v>284</v>
      </c>
      <c r="T382" s="4" t="s">
        <v>473</v>
      </c>
      <c r="U382" s="4">
        <v>0</v>
      </c>
      <c r="V382" s="4">
        <v>67</v>
      </c>
      <c r="W382" s="4">
        <v>39</v>
      </c>
    </row>
    <row r="383" spans="1:23" ht="11.25" customHeight="1" x14ac:dyDescent="0.3">
      <c r="A383" s="4" t="s">
        <v>21</v>
      </c>
      <c r="B383" s="4" t="s">
        <v>35</v>
      </c>
      <c r="C383" s="4" t="s">
        <v>23</v>
      </c>
      <c r="D383" s="4" t="s">
        <v>50</v>
      </c>
      <c r="E383" s="4" t="s">
        <v>53</v>
      </c>
      <c r="F383" s="4" t="s">
        <v>25</v>
      </c>
      <c r="G383" s="4" t="s">
        <v>25</v>
      </c>
      <c r="H383" s="4" t="s">
        <v>25</v>
      </c>
      <c r="I383" s="5">
        <v>44440</v>
      </c>
      <c r="J383" s="6">
        <v>0</v>
      </c>
      <c r="K383" s="6">
        <v>0</v>
      </c>
      <c r="L383" s="6">
        <v>0.03</v>
      </c>
      <c r="M383" s="6">
        <v>0.03</v>
      </c>
      <c r="N383" s="6">
        <v>0.03</v>
      </c>
      <c r="O383" s="6">
        <v>0.03</v>
      </c>
      <c r="P383" s="6">
        <v>1</v>
      </c>
      <c r="Q383" s="4" t="s">
        <v>26</v>
      </c>
      <c r="R383" s="4">
        <v>0</v>
      </c>
      <c r="S383" s="4" t="s">
        <v>273</v>
      </c>
      <c r="T383" s="4" t="s">
        <v>462</v>
      </c>
      <c r="U383" s="4">
        <v>0</v>
      </c>
      <c r="V383" s="4">
        <v>67</v>
      </c>
      <c r="W383" s="4">
        <v>39</v>
      </c>
    </row>
    <row r="384" spans="1:23" ht="11.25" customHeight="1" x14ac:dyDescent="0.3">
      <c r="A384" s="4" t="s">
        <v>21</v>
      </c>
      <c r="B384" s="4" t="s">
        <v>35</v>
      </c>
      <c r="C384" s="4" t="s">
        <v>23</v>
      </c>
      <c r="D384" s="4" t="s">
        <v>50</v>
      </c>
      <c r="E384" s="4" t="s">
        <v>53</v>
      </c>
      <c r="F384" s="4" t="s">
        <v>25</v>
      </c>
      <c r="G384" s="4" t="s">
        <v>25</v>
      </c>
      <c r="H384" s="4" t="s">
        <v>25</v>
      </c>
      <c r="I384" s="5">
        <v>44470</v>
      </c>
      <c r="J384" s="6">
        <v>0</v>
      </c>
      <c r="K384" s="6">
        <v>0</v>
      </c>
      <c r="L384" s="6">
        <v>5.8000000000000003E-2</v>
      </c>
      <c r="M384" s="6">
        <v>5.8000000000000003E-2</v>
      </c>
      <c r="N384" s="6">
        <v>5.8000000000000003E-2</v>
      </c>
      <c r="O384" s="6">
        <v>5.8000000000000003E-2</v>
      </c>
      <c r="P384" s="6">
        <v>1</v>
      </c>
      <c r="Q384" s="4" t="s">
        <v>26</v>
      </c>
      <c r="R384" s="4">
        <v>0</v>
      </c>
      <c r="S384" s="4" t="s">
        <v>274</v>
      </c>
      <c r="T384" s="4" t="s">
        <v>463</v>
      </c>
      <c r="U384" s="4">
        <v>0</v>
      </c>
      <c r="V384" s="4">
        <v>67</v>
      </c>
      <c r="W384" s="4">
        <v>39</v>
      </c>
    </row>
    <row r="385" spans="1:23" ht="11.25" customHeight="1" x14ac:dyDescent="0.3">
      <c r="A385" s="4" t="s">
        <v>21</v>
      </c>
      <c r="B385" s="4" t="s">
        <v>35</v>
      </c>
      <c r="C385" s="4" t="s">
        <v>23</v>
      </c>
      <c r="D385" s="4" t="s">
        <v>50</v>
      </c>
      <c r="E385" s="4" t="s">
        <v>53</v>
      </c>
      <c r="F385" s="4" t="s">
        <v>25</v>
      </c>
      <c r="G385" s="4" t="s">
        <v>25</v>
      </c>
      <c r="H385" s="4" t="s">
        <v>25</v>
      </c>
      <c r="I385" s="5">
        <v>44501</v>
      </c>
      <c r="J385" s="6">
        <v>0</v>
      </c>
      <c r="K385" s="6">
        <v>0</v>
      </c>
      <c r="L385" s="6">
        <v>4.2000000000000003E-2</v>
      </c>
      <c r="M385" s="6">
        <v>4.2000000000000003E-2</v>
      </c>
      <c r="N385" s="6">
        <v>4.2000000000000003E-2</v>
      </c>
      <c r="O385" s="6">
        <v>4.2000000000000003E-2</v>
      </c>
      <c r="P385" s="6">
        <v>1</v>
      </c>
      <c r="Q385" s="4" t="s">
        <v>26</v>
      </c>
      <c r="R385" s="4">
        <v>0</v>
      </c>
      <c r="S385" s="4" t="s">
        <v>275</v>
      </c>
      <c r="T385" s="4" t="s">
        <v>464</v>
      </c>
      <c r="U385" s="4">
        <v>0</v>
      </c>
      <c r="V385" s="4">
        <v>67</v>
      </c>
      <c r="W385" s="4">
        <v>39</v>
      </c>
    </row>
    <row r="386" spans="1:23" ht="11.25" customHeight="1" x14ac:dyDescent="0.3">
      <c r="A386" s="4" t="s">
        <v>21</v>
      </c>
      <c r="B386" s="4" t="s">
        <v>35</v>
      </c>
      <c r="C386" s="4" t="s">
        <v>23</v>
      </c>
      <c r="D386" s="4" t="s">
        <v>50</v>
      </c>
      <c r="E386" s="4" t="s">
        <v>53</v>
      </c>
      <c r="F386" s="4" t="s">
        <v>25</v>
      </c>
      <c r="G386" s="4" t="s">
        <v>25</v>
      </c>
      <c r="H386" s="4" t="s">
        <v>25</v>
      </c>
      <c r="I386" s="5">
        <v>44531</v>
      </c>
      <c r="J386" s="6">
        <v>0</v>
      </c>
      <c r="K386" s="6">
        <v>0</v>
      </c>
      <c r="L386" s="6">
        <v>5.1999999999999998E-2</v>
      </c>
      <c r="M386" s="6">
        <v>5.1999999999999998E-2</v>
      </c>
      <c r="N386" s="6">
        <v>5.1999999999999998E-2</v>
      </c>
      <c r="O386" s="6">
        <v>5.1999999999999998E-2</v>
      </c>
      <c r="P386" s="6">
        <v>1</v>
      </c>
      <c r="Q386" s="4" t="s">
        <v>26</v>
      </c>
      <c r="R386" s="4">
        <v>0</v>
      </c>
      <c r="S386" s="4" t="s">
        <v>276</v>
      </c>
      <c r="T386" s="4" t="s">
        <v>465</v>
      </c>
      <c r="U386" s="4">
        <v>0</v>
      </c>
      <c r="V386" s="4">
        <v>67</v>
      </c>
      <c r="W386" s="4">
        <v>39</v>
      </c>
    </row>
    <row r="387" spans="1:23" ht="11.25" customHeight="1" x14ac:dyDescent="0.3">
      <c r="A387" s="4" t="s">
        <v>21</v>
      </c>
      <c r="B387" s="4" t="s">
        <v>35</v>
      </c>
      <c r="C387" s="4" t="s">
        <v>23</v>
      </c>
      <c r="D387" s="4" t="s">
        <v>50</v>
      </c>
      <c r="E387" s="4" t="s">
        <v>53</v>
      </c>
      <c r="F387" s="4" t="s">
        <v>25</v>
      </c>
      <c r="G387" s="4" t="s">
        <v>25</v>
      </c>
      <c r="H387" s="4" t="s">
        <v>25</v>
      </c>
      <c r="I387" s="5">
        <v>44562</v>
      </c>
      <c r="J387" s="6">
        <v>0</v>
      </c>
      <c r="K387" s="6">
        <v>0</v>
      </c>
      <c r="L387" s="6">
        <v>5.8999999999999997E-2</v>
      </c>
      <c r="M387" s="6">
        <v>5.8999999999999997E-2</v>
      </c>
      <c r="N387" s="6">
        <v>5.8999999999999997E-2</v>
      </c>
      <c r="O387" s="6">
        <v>5.8999999999999997E-2</v>
      </c>
      <c r="P387" s="6">
        <v>1</v>
      </c>
      <c r="Q387" s="4" t="s">
        <v>26</v>
      </c>
      <c r="R387" s="4">
        <v>0</v>
      </c>
      <c r="S387" s="4" t="s">
        <v>277</v>
      </c>
      <c r="T387" s="4" t="s">
        <v>466</v>
      </c>
      <c r="U387" s="4">
        <v>0</v>
      </c>
      <c r="V387" s="4">
        <v>67</v>
      </c>
      <c r="W387" s="4">
        <v>39</v>
      </c>
    </row>
    <row r="388" spans="1:23" ht="11.25" customHeight="1" x14ac:dyDescent="0.3">
      <c r="A388" s="4" t="s">
        <v>21</v>
      </c>
      <c r="B388" s="4" t="s">
        <v>35</v>
      </c>
      <c r="C388" s="4" t="s">
        <v>23</v>
      </c>
      <c r="D388" s="4" t="s">
        <v>50</v>
      </c>
      <c r="E388" s="4" t="s">
        <v>53</v>
      </c>
      <c r="F388" s="4" t="s">
        <v>25</v>
      </c>
      <c r="G388" s="4" t="s">
        <v>25</v>
      </c>
      <c r="H388" s="4" t="s">
        <v>25</v>
      </c>
      <c r="I388" s="5">
        <v>44593</v>
      </c>
      <c r="J388" s="6">
        <v>0</v>
      </c>
      <c r="K388" s="6">
        <v>0</v>
      </c>
      <c r="L388" s="6">
        <v>0.06</v>
      </c>
      <c r="M388" s="6">
        <v>0.06</v>
      </c>
      <c r="N388" s="6">
        <v>0.06</v>
      </c>
      <c r="O388" s="6">
        <v>0.06</v>
      </c>
      <c r="P388" s="6">
        <v>1</v>
      </c>
      <c r="Q388" s="4" t="s">
        <v>26</v>
      </c>
      <c r="R388" s="4">
        <v>0</v>
      </c>
      <c r="S388" s="4" t="s">
        <v>278</v>
      </c>
      <c r="T388" s="4" t="s">
        <v>467</v>
      </c>
      <c r="U388" s="4">
        <v>0</v>
      </c>
      <c r="V388" s="4">
        <v>67</v>
      </c>
      <c r="W388" s="4">
        <v>39</v>
      </c>
    </row>
    <row r="389" spans="1:23" ht="11.25" customHeight="1" x14ac:dyDescent="0.3">
      <c r="A389" s="4" t="s">
        <v>21</v>
      </c>
      <c r="B389" s="4" t="s">
        <v>35</v>
      </c>
      <c r="C389" s="4" t="s">
        <v>23</v>
      </c>
      <c r="D389" s="4" t="s">
        <v>50</v>
      </c>
      <c r="E389" s="4" t="s">
        <v>53</v>
      </c>
      <c r="F389" s="4" t="s">
        <v>25</v>
      </c>
      <c r="G389" s="4" t="s">
        <v>25</v>
      </c>
      <c r="H389" s="4" t="s">
        <v>25</v>
      </c>
      <c r="I389" s="5">
        <v>44621</v>
      </c>
      <c r="J389" s="6">
        <v>0</v>
      </c>
      <c r="K389" s="6">
        <v>0</v>
      </c>
      <c r="L389" s="6">
        <v>7.0000000000000007E-2</v>
      </c>
      <c r="M389" s="6">
        <v>7.0000000000000007E-2</v>
      </c>
      <c r="N389" s="6">
        <v>7.0000000000000007E-2</v>
      </c>
      <c r="O389" s="6">
        <v>7.0000000000000007E-2</v>
      </c>
      <c r="P389" s="6">
        <v>1</v>
      </c>
      <c r="Q389" s="4" t="s">
        <v>26</v>
      </c>
      <c r="R389" s="4">
        <v>0</v>
      </c>
      <c r="S389" s="4" t="s">
        <v>279</v>
      </c>
      <c r="T389" s="4" t="s">
        <v>468</v>
      </c>
      <c r="U389" s="4">
        <v>0</v>
      </c>
      <c r="V389" s="4">
        <v>67</v>
      </c>
      <c r="W389" s="4">
        <v>39</v>
      </c>
    </row>
    <row r="390" spans="1:23" ht="11.25" customHeight="1" x14ac:dyDescent="0.3">
      <c r="A390" s="4" t="s">
        <v>21</v>
      </c>
      <c r="B390" s="4" t="s">
        <v>35</v>
      </c>
      <c r="C390" s="4" t="s">
        <v>23</v>
      </c>
      <c r="D390" s="4" t="s">
        <v>50</v>
      </c>
      <c r="E390" s="4" t="s">
        <v>53</v>
      </c>
      <c r="F390" s="4" t="s">
        <v>25</v>
      </c>
      <c r="G390" s="4" t="s">
        <v>25</v>
      </c>
      <c r="H390" s="4" t="s">
        <v>25</v>
      </c>
      <c r="I390" s="5">
        <v>44652</v>
      </c>
      <c r="J390" s="6">
        <v>0</v>
      </c>
      <c r="K390" s="6">
        <v>0</v>
      </c>
      <c r="L390" s="6">
        <v>0.03</v>
      </c>
      <c r="M390" s="6">
        <v>0.03</v>
      </c>
      <c r="N390" s="6">
        <v>0.03</v>
      </c>
      <c r="O390" s="6">
        <v>0.03</v>
      </c>
      <c r="P390" s="6">
        <v>1</v>
      </c>
      <c r="Q390" s="4" t="s">
        <v>26</v>
      </c>
      <c r="R390" s="4">
        <v>0</v>
      </c>
      <c r="S390" s="4" t="s">
        <v>280</v>
      </c>
      <c r="T390" s="4" t="s">
        <v>469</v>
      </c>
      <c r="U390" s="4">
        <v>0</v>
      </c>
      <c r="V390" s="4">
        <v>67</v>
      </c>
      <c r="W390" s="4">
        <v>39</v>
      </c>
    </row>
    <row r="391" spans="1:23" ht="11.25" customHeight="1" x14ac:dyDescent="0.3">
      <c r="A391" s="4" t="s">
        <v>21</v>
      </c>
      <c r="B391" s="4" t="s">
        <v>35</v>
      </c>
      <c r="C391" s="4" t="s">
        <v>23</v>
      </c>
      <c r="D391" s="4" t="s">
        <v>50</v>
      </c>
      <c r="E391" s="4" t="s">
        <v>53</v>
      </c>
      <c r="F391" s="4" t="s">
        <v>25</v>
      </c>
      <c r="G391" s="4" t="s">
        <v>25</v>
      </c>
      <c r="H391" s="4" t="s">
        <v>25</v>
      </c>
      <c r="I391" s="5">
        <v>44682</v>
      </c>
      <c r="J391" s="6">
        <v>0</v>
      </c>
      <c r="K391" s="6">
        <v>0</v>
      </c>
      <c r="L391" s="6">
        <v>3.3000000000000002E-2</v>
      </c>
      <c r="M391" s="6">
        <v>3.3000000000000002E-2</v>
      </c>
      <c r="N391" s="6">
        <v>3.3000000000000002E-2</v>
      </c>
      <c r="O391" s="6">
        <v>3.3000000000000002E-2</v>
      </c>
      <c r="P391" s="6">
        <v>1</v>
      </c>
      <c r="Q391" s="4" t="s">
        <v>26</v>
      </c>
      <c r="R391" s="4">
        <v>0</v>
      </c>
      <c r="S391" s="4" t="s">
        <v>281</v>
      </c>
      <c r="T391" s="4" t="s">
        <v>470</v>
      </c>
      <c r="U391" s="4">
        <v>0</v>
      </c>
      <c r="V391" s="4">
        <v>67</v>
      </c>
      <c r="W391" s="4">
        <v>39</v>
      </c>
    </row>
    <row r="392" spans="1:23" ht="11.25" customHeight="1" x14ac:dyDescent="0.3">
      <c r="A392" s="4" t="s">
        <v>21</v>
      </c>
      <c r="B392" s="4" t="s">
        <v>35</v>
      </c>
      <c r="C392" s="4" t="s">
        <v>23</v>
      </c>
      <c r="D392" s="4" t="s">
        <v>50</v>
      </c>
      <c r="E392" s="4" t="s">
        <v>53</v>
      </c>
      <c r="F392" s="4" t="s">
        <v>25</v>
      </c>
      <c r="G392" s="4" t="s">
        <v>25</v>
      </c>
      <c r="H392" s="4" t="s">
        <v>25</v>
      </c>
      <c r="I392" s="5">
        <v>44713</v>
      </c>
      <c r="J392" s="6">
        <v>0</v>
      </c>
      <c r="K392" s="6">
        <v>0</v>
      </c>
      <c r="L392" s="6">
        <v>3.4000000000000002E-2</v>
      </c>
      <c r="M392" s="6">
        <v>3.4000000000000002E-2</v>
      </c>
      <c r="N392" s="6">
        <v>3.4000000000000002E-2</v>
      </c>
      <c r="O392" s="6">
        <v>3.4000000000000002E-2</v>
      </c>
      <c r="P392" s="6">
        <v>1</v>
      </c>
      <c r="Q392" s="4" t="s">
        <v>26</v>
      </c>
      <c r="R392" s="4">
        <v>0</v>
      </c>
      <c r="S392" s="4" t="s">
        <v>282</v>
      </c>
      <c r="T392" s="4" t="s">
        <v>471</v>
      </c>
      <c r="U392" s="4">
        <v>0</v>
      </c>
      <c r="V392" s="4">
        <v>67</v>
      </c>
      <c r="W392" s="4">
        <v>39</v>
      </c>
    </row>
    <row r="393" spans="1:23" ht="11.25" customHeight="1" x14ac:dyDescent="0.3">
      <c r="A393" s="4" t="s">
        <v>21</v>
      </c>
      <c r="B393" s="4" t="s">
        <v>35</v>
      </c>
      <c r="C393" s="4" t="s">
        <v>23</v>
      </c>
      <c r="D393" s="4" t="s">
        <v>50</v>
      </c>
      <c r="E393" s="4" t="s">
        <v>53</v>
      </c>
      <c r="F393" s="4" t="s">
        <v>25</v>
      </c>
      <c r="G393" s="4" t="s">
        <v>25</v>
      </c>
      <c r="H393" s="4" t="s">
        <v>25</v>
      </c>
      <c r="I393" s="5">
        <v>44743</v>
      </c>
      <c r="J393" s="6">
        <v>0</v>
      </c>
      <c r="K393" s="6">
        <v>0</v>
      </c>
      <c r="L393" s="6">
        <v>3.5999999999999997E-2</v>
      </c>
      <c r="M393" s="6">
        <v>3.5999999999999997E-2</v>
      </c>
      <c r="N393" s="6">
        <v>3.5999999999999997E-2</v>
      </c>
      <c r="O393" s="6">
        <v>3.5999999999999997E-2</v>
      </c>
      <c r="P393" s="6">
        <v>1</v>
      </c>
      <c r="Q393" s="4" t="s">
        <v>26</v>
      </c>
      <c r="R393" s="4">
        <v>0</v>
      </c>
      <c r="S393" s="4" t="s">
        <v>283</v>
      </c>
      <c r="T393" s="4" t="s">
        <v>472</v>
      </c>
      <c r="U393" s="4">
        <v>0</v>
      </c>
      <c r="V393" s="4">
        <v>67</v>
      </c>
      <c r="W393" s="4">
        <v>39</v>
      </c>
    </row>
    <row r="394" spans="1:23" ht="11.25" customHeight="1" x14ac:dyDescent="0.3">
      <c r="A394" s="4" t="s">
        <v>21</v>
      </c>
      <c r="B394" s="4" t="s">
        <v>35</v>
      </c>
      <c r="C394" s="4" t="s">
        <v>23</v>
      </c>
      <c r="D394" s="4" t="s">
        <v>50</v>
      </c>
      <c r="E394" s="4" t="s">
        <v>53</v>
      </c>
      <c r="F394" s="4" t="s">
        <v>25</v>
      </c>
      <c r="G394" s="4" t="s">
        <v>25</v>
      </c>
      <c r="H394" s="4" t="s">
        <v>25</v>
      </c>
      <c r="I394" s="5">
        <v>44774</v>
      </c>
      <c r="J394" s="6">
        <v>0</v>
      </c>
      <c r="K394" s="6">
        <v>0</v>
      </c>
      <c r="L394" s="6">
        <v>7.4999999999999997E-2</v>
      </c>
      <c r="M394" s="6">
        <v>7.4999999999999997E-2</v>
      </c>
      <c r="N394" s="6">
        <v>7.4999999999999997E-2</v>
      </c>
      <c r="O394" s="6">
        <v>7.4999999999999997E-2</v>
      </c>
      <c r="P394" s="6">
        <v>1</v>
      </c>
      <c r="Q394" s="4" t="s">
        <v>26</v>
      </c>
      <c r="R394" s="4">
        <v>0</v>
      </c>
      <c r="S394" s="4" t="s">
        <v>284</v>
      </c>
      <c r="T394" s="4" t="s">
        <v>473</v>
      </c>
      <c r="U394" s="4">
        <v>0</v>
      </c>
      <c r="V394" s="4">
        <v>67</v>
      </c>
      <c r="W394" s="4">
        <v>39</v>
      </c>
    </row>
    <row r="395" spans="1:23" ht="11.25" customHeight="1" x14ac:dyDescent="0.3">
      <c r="A395" s="4" t="s">
        <v>21</v>
      </c>
      <c r="B395" s="4" t="s">
        <v>46</v>
      </c>
      <c r="C395" s="4" t="s">
        <v>23</v>
      </c>
      <c r="D395" s="4" t="s">
        <v>47</v>
      </c>
      <c r="E395" s="4" t="s">
        <v>48</v>
      </c>
      <c r="F395" s="4" t="s">
        <v>25</v>
      </c>
      <c r="G395" s="4" t="s">
        <v>25</v>
      </c>
      <c r="H395" s="4" t="s">
        <v>25</v>
      </c>
      <c r="I395" s="5">
        <v>44440</v>
      </c>
      <c r="J395" s="6">
        <v>0</v>
      </c>
      <c r="K395" s="6">
        <v>0</v>
      </c>
      <c r="L395" s="6">
        <v>191.27699999999999</v>
      </c>
      <c r="M395" s="6">
        <v>191.27699999999999</v>
      </c>
      <c r="N395" s="6">
        <v>191.27699999999999</v>
      </c>
      <c r="O395" s="6">
        <v>191.27699999999999</v>
      </c>
      <c r="P395" s="6">
        <v>9</v>
      </c>
      <c r="Q395" s="4" t="s">
        <v>26</v>
      </c>
      <c r="R395" s="4">
        <v>0</v>
      </c>
      <c r="S395" s="4" t="s">
        <v>285</v>
      </c>
      <c r="T395" s="4" t="s">
        <v>474</v>
      </c>
      <c r="U395" s="4">
        <v>0</v>
      </c>
      <c r="V395" s="4">
        <v>69</v>
      </c>
      <c r="W395" s="4">
        <v>43</v>
      </c>
    </row>
    <row r="396" spans="1:23" ht="11.25" customHeight="1" x14ac:dyDescent="0.3">
      <c r="A396" s="4" t="s">
        <v>21</v>
      </c>
      <c r="B396" s="4" t="s">
        <v>46</v>
      </c>
      <c r="C396" s="4" t="s">
        <v>23</v>
      </c>
      <c r="D396" s="4" t="s">
        <v>47</v>
      </c>
      <c r="E396" s="4" t="s">
        <v>48</v>
      </c>
      <c r="F396" s="4" t="s">
        <v>25</v>
      </c>
      <c r="G396" s="4" t="s">
        <v>25</v>
      </c>
      <c r="H396" s="4" t="s">
        <v>25</v>
      </c>
      <c r="I396" s="5">
        <v>44470</v>
      </c>
      <c r="J396" s="6">
        <v>0</v>
      </c>
      <c r="K396" s="6">
        <v>0</v>
      </c>
      <c r="L396" s="6">
        <v>191.27699999999999</v>
      </c>
      <c r="M396" s="6">
        <v>191.27699999999999</v>
      </c>
      <c r="N396" s="6">
        <v>191.27699999999999</v>
      </c>
      <c r="O396" s="6">
        <v>191.27699999999999</v>
      </c>
      <c r="P396" s="6">
        <v>9</v>
      </c>
      <c r="Q396" s="4" t="s">
        <v>26</v>
      </c>
      <c r="R396" s="4">
        <v>0</v>
      </c>
      <c r="S396" s="4" t="s">
        <v>286</v>
      </c>
      <c r="T396" s="4" t="s">
        <v>475</v>
      </c>
      <c r="U396" s="4">
        <v>0</v>
      </c>
      <c r="V396" s="4">
        <v>69</v>
      </c>
      <c r="W396" s="4">
        <v>43</v>
      </c>
    </row>
    <row r="397" spans="1:23" ht="11.25" customHeight="1" x14ac:dyDescent="0.3">
      <c r="A397" s="4" t="s">
        <v>21</v>
      </c>
      <c r="B397" s="4" t="s">
        <v>46</v>
      </c>
      <c r="C397" s="4" t="s">
        <v>23</v>
      </c>
      <c r="D397" s="4" t="s">
        <v>47</v>
      </c>
      <c r="E397" s="4" t="s">
        <v>48</v>
      </c>
      <c r="F397" s="4" t="s">
        <v>25</v>
      </c>
      <c r="G397" s="4" t="s">
        <v>25</v>
      </c>
      <c r="H397" s="4" t="s">
        <v>25</v>
      </c>
      <c r="I397" s="5">
        <v>44501</v>
      </c>
      <c r="J397" s="6">
        <v>0</v>
      </c>
      <c r="K397" s="6">
        <v>0</v>
      </c>
      <c r="L397" s="6">
        <v>191.27699999999999</v>
      </c>
      <c r="M397" s="6">
        <v>191.27699999999999</v>
      </c>
      <c r="N397" s="6">
        <v>191.27699999999999</v>
      </c>
      <c r="O397" s="6">
        <v>191.27699999999999</v>
      </c>
      <c r="P397" s="6">
        <v>9</v>
      </c>
      <c r="Q397" s="4" t="s">
        <v>26</v>
      </c>
      <c r="R397" s="4">
        <v>0</v>
      </c>
      <c r="S397" s="4" t="s">
        <v>287</v>
      </c>
      <c r="T397" s="4" t="s">
        <v>476</v>
      </c>
      <c r="U397" s="4">
        <v>0</v>
      </c>
      <c r="V397" s="4">
        <v>69</v>
      </c>
      <c r="W397" s="4">
        <v>43</v>
      </c>
    </row>
    <row r="398" spans="1:23" ht="11.25" customHeight="1" x14ac:dyDescent="0.3">
      <c r="A398" s="4" t="s">
        <v>21</v>
      </c>
      <c r="B398" s="4" t="s">
        <v>46</v>
      </c>
      <c r="C398" s="4" t="s">
        <v>23</v>
      </c>
      <c r="D398" s="4" t="s">
        <v>47</v>
      </c>
      <c r="E398" s="4" t="s">
        <v>48</v>
      </c>
      <c r="F398" s="4" t="s">
        <v>25</v>
      </c>
      <c r="G398" s="4" t="s">
        <v>25</v>
      </c>
      <c r="H398" s="4" t="s">
        <v>25</v>
      </c>
      <c r="I398" s="5">
        <v>44531</v>
      </c>
      <c r="J398" s="6">
        <v>0</v>
      </c>
      <c r="K398" s="6">
        <v>0</v>
      </c>
      <c r="L398" s="6">
        <v>191.27699999999999</v>
      </c>
      <c r="M398" s="6">
        <v>191.27699999999999</v>
      </c>
      <c r="N398" s="6">
        <v>191.27699999999999</v>
      </c>
      <c r="O398" s="6">
        <v>191.27699999999999</v>
      </c>
      <c r="P398" s="6">
        <v>9</v>
      </c>
      <c r="Q398" s="4" t="s">
        <v>26</v>
      </c>
      <c r="R398" s="4">
        <v>0</v>
      </c>
      <c r="S398" s="4" t="s">
        <v>288</v>
      </c>
      <c r="T398" s="4" t="s">
        <v>477</v>
      </c>
      <c r="U398" s="4">
        <v>0</v>
      </c>
      <c r="V398" s="4">
        <v>69</v>
      </c>
      <c r="W398" s="4">
        <v>43</v>
      </c>
    </row>
    <row r="399" spans="1:23" ht="11.25" customHeight="1" x14ac:dyDescent="0.3">
      <c r="A399" s="4" t="s">
        <v>21</v>
      </c>
      <c r="B399" s="4" t="s">
        <v>46</v>
      </c>
      <c r="C399" s="4" t="s">
        <v>23</v>
      </c>
      <c r="D399" s="4" t="s">
        <v>47</v>
      </c>
      <c r="E399" s="4" t="s">
        <v>48</v>
      </c>
      <c r="F399" s="4" t="s">
        <v>25</v>
      </c>
      <c r="G399" s="4" t="s">
        <v>25</v>
      </c>
      <c r="H399" s="4" t="s">
        <v>25</v>
      </c>
      <c r="I399" s="5">
        <v>44562</v>
      </c>
      <c r="J399" s="6">
        <v>0</v>
      </c>
      <c r="K399" s="6">
        <v>0</v>
      </c>
      <c r="L399" s="6">
        <v>191.27699999999999</v>
      </c>
      <c r="M399" s="6">
        <v>191.27699999999999</v>
      </c>
      <c r="N399" s="6">
        <v>191.27699999999999</v>
      </c>
      <c r="O399" s="6">
        <v>191.27699999999999</v>
      </c>
      <c r="P399" s="6">
        <v>9</v>
      </c>
      <c r="Q399" s="4" t="s">
        <v>26</v>
      </c>
      <c r="R399" s="4">
        <v>0</v>
      </c>
      <c r="S399" s="4" t="s">
        <v>289</v>
      </c>
      <c r="T399" s="4" t="s">
        <v>478</v>
      </c>
      <c r="U399" s="4">
        <v>0</v>
      </c>
      <c r="V399" s="4">
        <v>69</v>
      </c>
      <c r="W399" s="4">
        <v>43</v>
      </c>
    </row>
    <row r="400" spans="1:23" ht="11.25" customHeight="1" x14ac:dyDescent="0.3">
      <c r="A400" s="4" t="s">
        <v>21</v>
      </c>
      <c r="B400" s="4" t="s">
        <v>46</v>
      </c>
      <c r="C400" s="4" t="s">
        <v>23</v>
      </c>
      <c r="D400" s="4" t="s">
        <v>47</v>
      </c>
      <c r="E400" s="4" t="s">
        <v>48</v>
      </c>
      <c r="F400" s="4" t="s">
        <v>25</v>
      </c>
      <c r="G400" s="4" t="s">
        <v>25</v>
      </c>
      <c r="H400" s="4" t="s">
        <v>25</v>
      </c>
      <c r="I400" s="5">
        <v>44593</v>
      </c>
      <c r="J400" s="6">
        <v>0</v>
      </c>
      <c r="K400" s="6">
        <v>0</v>
      </c>
      <c r="L400" s="6">
        <v>191.27699999999999</v>
      </c>
      <c r="M400" s="6">
        <v>191.27699999999999</v>
      </c>
      <c r="N400" s="6">
        <v>191.27699999999999</v>
      </c>
      <c r="O400" s="6">
        <v>191.27699999999999</v>
      </c>
      <c r="P400" s="6">
        <v>9</v>
      </c>
      <c r="Q400" s="4" t="s">
        <v>26</v>
      </c>
      <c r="R400" s="4">
        <v>0</v>
      </c>
      <c r="S400" s="4" t="s">
        <v>290</v>
      </c>
      <c r="T400" s="4" t="s">
        <v>479</v>
      </c>
      <c r="U400" s="4">
        <v>0</v>
      </c>
      <c r="V400" s="4">
        <v>69</v>
      </c>
      <c r="W400" s="4">
        <v>43</v>
      </c>
    </row>
    <row r="401" spans="1:23" ht="11.25" customHeight="1" x14ac:dyDescent="0.3">
      <c r="A401" s="4" t="s">
        <v>21</v>
      </c>
      <c r="B401" s="4" t="s">
        <v>46</v>
      </c>
      <c r="C401" s="4" t="s">
        <v>23</v>
      </c>
      <c r="D401" s="4" t="s">
        <v>47</v>
      </c>
      <c r="E401" s="4" t="s">
        <v>48</v>
      </c>
      <c r="F401" s="4" t="s">
        <v>25</v>
      </c>
      <c r="G401" s="4" t="s">
        <v>25</v>
      </c>
      <c r="H401" s="4" t="s">
        <v>25</v>
      </c>
      <c r="I401" s="5">
        <v>44621</v>
      </c>
      <c r="J401" s="6">
        <v>0</v>
      </c>
      <c r="K401" s="6">
        <v>0</v>
      </c>
      <c r="L401" s="6">
        <v>191.27699999999999</v>
      </c>
      <c r="M401" s="6">
        <v>191.27699999999999</v>
      </c>
      <c r="N401" s="6">
        <v>191.27699999999999</v>
      </c>
      <c r="O401" s="6">
        <v>191.27699999999999</v>
      </c>
      <c r="P401" s="6">
        <v>9</v>
      </c>
      <c r="Q401" s="4" t="s">
        <v>26</v>
      </c>
      <c r="R401" s="4">
        <v>0</v>
      </c>
      <c r="S401" s="4" t="s">
        <v>291</v>
      </c>
      <c r="T401" s="4" t="s">
        <v>480</v>
      </c>
      <c r="U401" s="4">
        <v>0</v>
      </c>
      <c r="V401" s="4">
        <v>69</v>
      </c>
      <c r="W401" s="4">
        <v>43</v>
      </c>
    </row>
    <row r="402" spans="1:23" ht="11.25" customHeight="1" x14ac:dyDescent="0.3">
      <c r="A402" s="4" t="s">
        <v>21</v>
      </c>
      <c r="B402" s="4" t="s">
        <v>46</v>
      </c>
      <c r="C402" s="4" t="s">
        <v>23</v>
      </c>
      <c r="D402" s="4" t="s">
        <v>47</v>
      </c>
      <c r="E402" s="4" t="s">
        <v>48</v>
      </c>
      <c r="F402" s="4" t="s">
        <v>25</v>
      </c>
      <c r="G402" s="4" t="s">
        <v>25</v>
      </c>
      <c r="H402" s="4" t="s">
        <v>25</v>
      </c>
      <c r="I402" s="5">
        <v>44652</v>
      </c>
      <c r="J402" s="6">
        <v>0</v>
      </c>
      <c r="K402" s="6">
        <v>0</v>
      </c>
      <c r="L402" s="6">
        <v>191.27699999999999</v>
      </c>
      <c r="M402" s="6">
        <v>191.27699999999999</v>
      </c>
      <c r="N402" s="6">
        <v>191.27699999999999</v>
      </c>
      <c r="O402" s="6">
        <v>191.27699999999999</v>
      </c>
      <c r="P402" s="6">
        <v>9</v>
      </c>
      <c r="Q402" s="4" t="s">
        <v>26</v>
      </c>
      <c r="R402" s="4">
        <v>0</v>
      </c>
      <c r="S402" s="4" t="s">
        <v>292</v>
      </c>
      <c r="T402" s="4" t="s">
        <v>481</v>
      </c>
      <c r="U402" s="4">
        <v>0</v>
      </c>
      <c r="V402" s="4">
        <v>69</v>
      </c>
      <c r="W402" s="4">
        <v>43</v>
      </c>
    </row>
    <row r="403" spans="1:23" ht="11.25" customHeight="1" x14ac:dyDescent="0.3">
      <c r="A403" s="4" t="s">
        <v>21</v>
      </c>
      <c r="B403" s="4" t="s">
        <v>46</v>
      </c>
      <c r="C403" s="4" t="s">
        <v>23</v>
      </c>
      <c r="D403" s="4" t="s">
        <v>47</v>
      </c>
      <c r="E403" s="4" t="s">
        <v>48</v>
      </c>
      <c r="F403" s="4" t="s">
        <v>25</v>
      </c>
      <c r="G403" s="4" t="s">
        <v>25</v>
      </c>
      <c r="H403" s="4" t="s">
        <v>25</v>
      </c>
      <c r="I403" s="5">
        <v>44682</v>
      </c>
      <c r="J403" s="6">
        <v>0</v>
      </c>
      <c r="K403" s="6">
        <v>0</v>
      </c>
      <c r="L403" s="6">
        <v>191.27699999999999</v>
      </c>
      <c r="M403" s="6">
        <v>191.27699999999999</v>
      </c>
      <c r="N403" s="6">
        <v>191.27699999999999</v>
      </c>
      <c r="O403" s="6">
        <v>191.27699999999999</v>
      </c>
      <c r="P403" s="6">
        <v>9</v>
      </c>
      <c r="Q403" s="4" t="s">
        <v>26</v>
      </c>
      <c r="R403" s="4">
        <v>0</v>
      </c>
      <c r="S403" s="4" t="s">
        <v>293</v>
      </c>
      <c r="T403" s="4" t="s">
        <v>482</v>
      </c>
      <c r="U403" s="4">
        <v>0</v>
      </c>
      <c r="V403" s="4">
        <v>69</v>
      </c>
      <c r="W403" s="4">
        <v>43</v>
      </c>
    </row>
    <row r="404" spans="1:23" ht="11.25" customHeight="1" x14ac:dyDescent="0.3">
      <c r="A404" s="4" t="s">
        <v>21</v>
      </c>
      <c r="B404" s="4" t="s">
        <v>46</v>
      </c>
      <c r="C404" s="4" t="s">
        <v>23</v>
      </c>
      <c r="D404" s="4" t="s">
        <v>47</v>
      </c>
      <c r="E404" s="4" t="s">
        <v>48</v>
      </c>
      <c r="F404" s="4" t="s">
        <v>25</v>
      </c>
      <c r="G404" s="4" t="s">
        <v>25</v>
      </c>
      <c r="H404" s="4" t="s">
        <v>25</v>
      </c>
      <c r="I404" s="5">
        <v>44713</v>
      </c>
      <c r="J404" s="6">
        <v>0</v>
      </c>
      <c r="K404" s="6">
        <v>0</v>
      </c>
      <c r="L404" s="6">
        <v>235.31200000000001</v>
      </c>
      <c r="M404" s="6">
        <v>235.31200000000001</v>
      </c>
      <c r="N404" s="6">
        <v>235.31200000000001</v>
      </c>
      <c r="O404" s="6">
        <v>235.31200000000001</v>
      </c>
      <c r="P404" s="6">
        <v>9</v>
      </c>
      <c r="Q404" s="4" t="s">
        <v>26</v>
      </c>
      <c r="R404" s="4">
        <v>0</v>
      </c>
      <c r="S404" s="4" t="s">
        <v>294</v>
      </c>
      <c r="T404" s="4" t="s">
        <v>483</v>
      </c>
      <c r="U404" s="4">
        <v>0</v>
      </c>
      <c r="V404" s="4">
        <v>69</v>
      </c>
      <c r="W404" s="4">
        <v>43</v>
      </c>
    </row>
    <row r="405" spans="1:23" ht="11.25" customHeight="1" x14ac:dyDescent="0.3">
      <c r="A405" s="4" t="s">
        <v>21</v>
      </c>
      <c r="B405" s="4" t="s">
        <v>46</v>
      </c>
      <c r="C405" s="4" t="s">
        <v>23</v>
      </c>
      <c r="D405" s="4" t="s">
        <v>47</v>
      </c>
      <c r="E405" s="4" t="s">
        <v>48</v>
      </c>
      <c r="F405" s="4" t="s">
        <v>25</v>
      </c>
      <c r="G405" s="4" t="s">
        <v>25</v>
      </c>
      <c r="H405" s="4" t="s">
        <v>25</v>
      </c>
      <c r="I405" s="5">
        <v>44743</v>
      </c>
      <c r="J405" s="6">
        <v>0</v>
      </c>
      <c r="K405" s="6">
        <v>0</v>
      </c>
      <c r="L405" s="6">
        <v>262.262</v>
      </c>
      <c r="M405" s="6">
        <v>262.262</v>
      </c>
      <c r="N405" s="6">
        <v>262.262</v>
      </c>
      <c r="O405" s="6">
        <v>262.262</v>
      </c>
      <c r="P405" s="6">
        <v>9</v>
      </c>
      <c r="Q405" s="4" t="s">
        <v>26</v>
      </c>
      <c r="R405" s="4">
        <v>0</v>
      </c>
      <c r="S405" s="4" t="s">
        <v>295</v>
      </c>
      <c r="T405" s="4" t="s">
        <v>484</v>
      </c>
      <c r="U405" s="4">
        <v>0</v>
      </c>
      <c r="V405" s="4">
        <v>69</v>
      </c>
      <c r="W405" s="4">
        <v>43</v>
      </c>
    </row>
    <row r="406" spans="1:23" ht="11.25" customHeight="1" x14ac:dyDescent="0.3">
      <c r="A406" s="4" t="s">
        <v>21</v>
      </c>
      <c r="B406" s="4" t="s">
        <v>46</v>
      </c>
      <c r="C406" s="4" t="s">
        <v>23</v>
      </c>
      <c r="D406" s="4" t="s">
        <v>47</v>
      </c>
      <c r="E406" s="4" t="s">
        <v>48</v>
      </c>
      <c r="F406" s="4" t="s">
        <v>25</v>
      </c>
      <c r="G406" s="4" t="s">
        <v>25</v>
      </c>
      <c r="H406" s="4" t="s">
        <v>25</v>
      </c>
      <c r="I406" s="5">
        <v>44774</v>
      </c>
      <c r="J406" s="6">
        <v>0</v>
      </c>
      <c r="K406" s="6">
        <v>0</v>
      </c>
      <c r="L406" s="6">
        <v>276.28800000000001</v>
      </c>
      <c r="M406" s="6">
        <v>276.28800000000001</v>
      </c>
      <c r="N406" s="6">
        <v>276.28800000000001</v>
      </c>
      <c r="O406" s="6">
        <v>276.28800000000001</v>
      </c>
      <c r="P406" s="6">
        <v>9</v>
      </c>
      <c r="Q406" s="4" t="s">
        <v>26</v>
      </c>
      <c r="R406" s="4">
        <v>0</v>
      </c>
      <c r="S406" s="4" t="s">
        <v>296</v>
      </c>
      <c r="T406" s="4" t="s">
        <v>485</v>
      </c>
      <c r="U406" s="4">
        <v>0</v>
      </c>
      <c r="V406" s="4">
        <v>69</v>
      </c>
      <c r="W406" s="4">
        <v>43</v>
      </c>
    </row>
    <row r="407" spans="1:23" ht="11.25" customHeight="1" x14ac:dyDescent="0.3">
      <c r="A407" s="4" t="s">
        <v>21</v>
      </c>
      <c r="B407" s="4" t="s">
        <v>46</v>
      </c>
      <c r="C407" s="4" t="s">
        <v>23</v>
      </c>
      <c r="D407" s="4" t="s">
        <v>47</v>
      </c>
      <c r="E407" s="4" t="s">
        <v>49</v>
      </c>
      <c r="F407" s="4" t="s">
        <v>25</v>
      </c>
      <c r="G407" s="4" t="s">
        <v>25</v>
      </c>
      <c r="H407" s="4" t="s">
        <v>25</v>
      </c>
      <c r="I407" s="5">
        <v>44440</v>
      </c>
      <c r="J407" s="6">
        <v>0</v>
      </c>
      <c r="K407" s="6">
        <v>0</v>
      </c>
      <c r="L407" s="6">
        <v>128.18199999999999</v>
      </c>
      <c r="M407" s="6">
        <v>128.18199999999999</v>
      </c>
      <c r="N407" s="6">
        <v>128.18199999999999</v>
      </c>
      <c r="O407" s="6">
        <v>128.18199999999999</v>
      </c>
      <c r="P407" s="6">
        <v>6</v>
      </c>
      <c r="Q407" s="4" t="s">
        <v>26</v>
      </c>
      <c r="R407" s="4">
        <v>0</v>
      </c>
      <c r="S407" s="4" t="s">
        <v>297</v>
      </c>
      <c r="T407" s="4" t="s">
        <v>486</v>
      </c>
      <c r="U407" s="4">
        <v>0</v>
      </c>
      <c r="V407" s="4">
        <v>70</v>
      </c>
      <c r="W407" s="4">
        <v>45</v>
      </c>
    </row>
    <row r="408" spans="1:23" ht="11.25" customHeight="1" x14ac:dyDescent="0.3">
      <c r="A408" s="4" t="s">
        <v>21</v>
      </c>
      <c r="B408" s="4" t="s">
        <v>46</v>
      </c>
      <c r="C408" s="4" t="s">
        <v>23</v>
      </c>
      <c r="D408" s="4" t="s">
        <v>47</v>
      </c>
      <c r="E408" s="4" t="s">
        <v>49</v>
      </c>
      <c r="F408" s="4" t="s">
        <v>25</v>
      </c>
      <c r="G408" s="4" t="s">
        <v>25</v>
      </c>
      <c r="H408" s="4" t="s">
        <v>25</v>
      </c>
      <c r="I408" s="5">
        <v>44470</v>
      </c>
      <c r="J408" s="6">
        <v>0</v>
      </c>
      <c r="K408" s="6">
        <v>0</v>
      </c>
      <c r="L408" s="6">
        <v>130.39699999999999</v>
      </c>
      <c r="M408" s="6">
        <v>130.39699999999999</v>
      </c>
      <c r="N408" s="6">
        <v>130.39699999999999</v>
      </c>
      <c r="O408" s="6">
        <v>130.39699999999999</v>
      </c>
      <c r="P408" s="6">
        <v>6</v>
      </c>
      <c r="Q408" s="4" t="s">
        <v>26</v>
      </c>
      <c r="R408" s="4">
        <v>0</v>
      </c>
      <c r="S408" s="4" t="s">
        <v>298</v>
      </c>
      <c r="T408" s="4" t="s">
        <v>487</v>
      </c>
      <c r="U408" s="4">
        <v>0</v>
      </c>
      <c r="V408" s="4">
        <v>70</v>
      </c>
      <c r="W408" s="4">
        <v>45</v>
      </c>
    </row>
    <row r="409" spans="1:23" ht="11.25" customHeight="1" x14ac:dyDescent="0.3">
      <c r="A409" s="4" t="s">
        <v>21</v>
      </c>
      <c r="B409" s="4" t="s">
        <v>46</v>
      </c>
      <c r="C409" s="4" t="s">
        <v>23</v>
      </c>
      <c r="D409" s="4" t="s">
        <v>47</v>
      </c>
      <c r="E409" s="4" t="s">
        <v>49</v>
      </c>
      <c r="F409" s="4" t="s">
        <v>25</v>
      </c>
      <c r="G409" s="4" t="s">
        <v>25</v>
      </c>
      <c r="H409" s="4" t="s">
        <v>25</v>
      </c>
      <c r="I409" s="5">
        <v>44501</v>
      </c>
      <c r="J409" s="6">
        <v>0</v>
      </c>
      <c r="K409" s="6">
        <v>0</v>
      </c>
      <c r="L409" s="6">
        <v>130.57300000000001</v>
      </c>
      <c r="M409" s="6">
        <v>130.57300000000001</v>
      </c>
      <c r="N409" s="6">
        <v>130.57300000000001</v>
      </c>
      <c r="O409" s="6">
        <v>130.57300000000001</v>
      </c>
      <c r="P409" s="6">
        <v>6</v>
      </c>
      <c r="Q409" s="4" t="s">
        <v>26</v>
      </c>
      <c r="R409" s="4">
        <v>0</v>
      </c>
      <c r="S409" s="4" t="s">
        <v>299</v>
      </c>
      <c r="T409" s="4" t="s">
        <v>488</v>
      </c>
      <c r="U409" s="4">
        <v>0</v>
      </c>
      <c r="V409" s="4">
        <v>70</v>
      </c>
      <c r="W409" s="4">
        <v>45</v>
      </c>
    </row>
    <row r="410" spans="1:23" ht="11.25" customHeight="1" x14ac:dyDescent="0.3">
      <c r="A410" s="4" t="s">
        <v>21</v>
      </c>
      <c r="B410" s="4" t="s">
        <v>46</v>
      </c>
      <c r="C410" s="4" t="s">
        <v>23</v>
      </c>
      <c r="D410" s="4" t="s">
        <v>47</v>
      </c>
      <c r="E410" s="4" t="s">
        <v>49</v>
      </c>
      <c r="F410" s="4" t="s">
        <v>25</v>
      </c>
      <c r="G410" s="4" t="s">
        <v>25</v>
      </c>
      <c r="H410" s="4" t="s">
        <v>25</v>
      </c>
      <c r="I410" s="5">
        <v>44531</v>
      </c>
      <c r="J410" s="6">
        <v>0</v>
      </c>
      <c r="K410" s="6">
        <v>0</v>
      </c>
      <c r="L410" s="6">
        <v>130.57300000000001</v>
      </c>
      <c r="M410" s="6">
        <v>130.57300000000001</v>
      </c>
      <c r="N410" s="6">
        <v>130.57300000000001</v>
      </c>
      <c r="O410" s="6">
        <v>130.57300000000001</v>
      </c>
      <c r="P410" s="6">
        <v>6</v>
      </c>
      <c r="Q410" s="4" t="s">
        <v>26</v>
      </c>
      <c r="R410" s="4">
        <v>0</v>
      </c>
      <c r="S410" s="4" t="s">
        <v>300</v>
      </c>
      <c r="T410" s="4" t="s">
        <v>489</v>
      </c>
      <c r="U410" s="4">
        <v>0</v>
      </c>
      <c r="V410" s="4">
        <v>70</v>
      </c>
      <c r="W410" s="4">
        <v>45</v>
      </c>
    </row>
    <row r="411" spans="1:23" ht="11.25" customHeight="1" x14ac:dyDescent="0.3">
      <c r="A411" s="4" t="s">
        <v>21</v>
      </c>
      <c r="B411" s="4" t="s">
        <v>46</v>
      </c>
      <c r="C411" s="4" t="s">
        <v>23</v>
      </c>
      <c r="D411" s="4" t="s">
        <v>47</v>
      </c>
      <c r="E411" s="4" t="s">
        <v>49</v>
      </c>
      <c r="F411" s="4" t="s">
        <v>25</v>
      </c>
      <c r="G411" s="4" t="s">
        <v>25</v>
      </c>
      <c r="H411" s="4" t="s">
        <v>25</v>
      </c>
      <c r="I411" s="5">
        <v>44562</v>
      </c>
      <c r="J411" s="6">
        <v>0</v>
      </c>
      <c r="K411" s="6">
        <v>0</v>
      </c>
      <c r="L411" s="6">
        <v>130.57300000000001</v>
      </c>
      <c r="M411" s="6">
        <v>130.57300000000001</v>
      </c>
      <c r="N411" s="6">
        <v>130.57300000000001</v>
      </c>
      <c r="O411" s="6">
        <v>130.57300000000001</v>
      </c>
      <c r="P411" s="6">
        <v>6</v>
      </c>
      <c r="Q411" s="4" t="s">
        <v>26</v>
      </c>
      <c r="R411" s="4">
        <v>0</v>
      </c>
      <c r="S411" s="4" t="s">
        <v>301</v>
      </c>
      <c r="T411" s="4" t="s">
        <v>490</v>
      </c>
      <c r="U411" s="4">
        <v>0</v>
      </c>
      <c r="V411" s="4">
        <v>70</v>
      </c>
      <c r="W411" s="4">
        <v>45</v>
      </c>
    </row>
    <row r="412" spans="1:23" ht="11.25" customHeight="1" x14ac:dyDescent="0.3">
      <c r="A412" s="4" t="s">
        <v>21</v>
      </c>
      <c r="B412" s="4" t="s">
        <v>46</v>
      </c>
      <c r="C412" s="4" t="s">
        <v>23</v>
      </c>
      <c r="D412" s="4" t="s">
        <v>47</v>
      </c>
      <c r="E412" s="4" t="s">
        <v>49</v>
      </c>
      <c r="F412" s="4" t="s">
        <v>25</v>
      </c>
      <c r="G412" s="4" t="s">
        <v>25</v>
      </c>
      <c r="H412" s="4" t="s">
        <v>25</v>
      </c>
      <c r="I412" s="5">
        <v>44593</v>
      </c>
      <c r="J412" s="6">
        <v>0</v>
      </c>
      <c r="K412" s="6">
        <v>0</v>
      </c>
      <c r="L412" s="6">
        <v>130.57300000000001</v>
      </c>
      <c r="M412" s="6">
        <v>130.57300000000001</v>
      </c>
      <c r="N412" s="6">
        <v>130.57300000000001</v>
      </c>
      <c r="O412" s="6">
        <v>130.57300000000001</v>
      </c>
      <c r="P412" s="6">
        <v>6</v>
      </c>
      <c r="Q412" s="4" t="s">
        <v>26</v>
      </c>
      <c r="R412" s="4">
        <v>0</v>
      </c>
      <c r="S412" s="4" t="s">
        <v>302</v>
      </c>
      <c r="T412" s="4" t="s">
        <v>491</v>
      </c>
      <c r="U412" s="4">
        <v>0</v>
      </c>
      <c r="V412" s="4">
        <v>70</v>
      </c>
      <c r="W412" s="4">
        <v>45</v>
      </c>
    </row>
    <row r="413" spans="1:23" ht="11.25" customHeight="1" x14ac:dyDescent="0.3">
      <c r="A413" s="4" t="s">
        <v>21</v>
      </c>
      <c r="B413" s="4" t="s">
        <v>46</v>
      </c>
      <c r="C413" s="4" t="s">
        <v>23</v>
      </c>
      <c r="D413" s="4" t="s">
        <v>47</v>
      </c>
      <c r="E413" s="4" t="s">
        <v>49</v>
      </c>
      <c r="F413" s="4" t="s">
        <v>25</v>
      </c>
      <c r="G413" s="4" t="s">
        <v>25</v>
      </c>
      <c r="H413" s="4" t="s">
        <v>25</v>
      </c>
      <c r="I413" s="5">
        <v>44621</v>
      </c>
      <c r="J413" s="6">
        <v>0</v>
      </c>
      <c r="K413" s="6">
        <v>0</v>
      </c>
      <c r="L413" s="6">
        <v>130.57300000000001</v>
      </c>
      <c r="M413" s="6">
        <v>130.57300000000001</v>
      </c>
      <c r="N413" s="6">
        <v>130.57300000000001</v>
      </c>
      <c r="O413" s="6">
        <v>130.57300000000001</v>
      </c>
      <c r="P413" s="6">
        <v>6</v>
      </c>
      <c r="Q413" s="4" t="s">
        <v>26</v>
      </c>
      <c r="R413" s="4">
        <v>0</v>
      </c>
      <c r="S413" s="4" t="s">
        <v>303</v>
      </c>
      <c r="T413" s="4" t="s">
        <v>492</v>
      </c>
      <c r="U413" s="4">
        <v>0</v>
      </c>
      <c r="V413" s="4">
        <v>70</v>
      </c>
      <c r="W413" s="4">
        <v>45</v>
      </c>
    </row>
    <row r="414" spans="1:23" ht="11.25" customHeight="1" x14ac:dyDescent="0.3">
      <c r="A414" s="4" t="s">
        <v>21</v>
      </c>
      <c r="B414" s="4" t="s">
        <v>46</v>
      </c>
      <c r="C414" s="4" t="s">
        <v>23</v>
      </c>
      <c r="D414" s="4" t="s">
        <v>47</v>
      </c>
      <c r="E414" s="4" t="s">
        <v>49</v>
      </c>
      <c r="F414" s="4" t="s">
        <v>25</v>
      </c>
      <c r="G414" s="4" t="s">
        <v>25</v>
      </c>
      <c r="H414" s="4" t="s">
        <v>25</v>
      </c>
      <c r="I414" s="5">
        <v>44652</v>
      </c>
      <c r="J414" s="6">
        <v>0</v>
      </c>
      <c r="K414" s="6">
        <v>0</v>
      </c>
      <c r="L414" s="6">
        <v>130.57300000000001</v>
      </c>
      <c r="M414" s="6">
        <v>130.57300000000001</v>
      </c>
      <c r="N414" s="6">
        <v>130.57300000000001</v>
      </c>
      <c r="O414" s="6">
        <v>130.57300000000001</v>
      </c>
      <c r="P414" s="6">
        <v>6</v>
      </c>
      <c r="Q414" s="4" t="s">
        <v>26</v>
      </c>
      <c r="R414" s="4">
        <v>0</v>
      </c>
      <c r="S414" s="4" t="s">
        <v>304</v>
      </c>
      <c r="T414" s="4" t="s">
        <v>493</v>
      </c>
      <c r="U414" s="4">
        <v>0</v>
      </c>
      <c r="V414" s="4">
        <v>70</v>
      </c>
      <c r="W414" s="4">
        <v>45</v>
      </c>
    </row>
    <row r="415" spans="1:23" ht="11.25" customHeight="1" x14ac:dyDescent="0.3">
      <c r="A415" s="4" t="s">
        <v>21</v>
      </c>
      <c r="B415" s="4" t="s">
        <v>46</v>
      </c>
      <c r="C415" s="4" t="s">
        <v>23</v>
      </c>
      <c r="D415" s="4" t="s">
        <v>47</v>
      </c>
      <c r="E415" s="4" t="s">
        <v>49</v>
      </c>
      <c r="F415" s="4" t="s">
        <v>25</v>
      </c>
      <c r="G415" s="4" t="s">
        <v>25</v>
      </c>
      <c r="H415" s="4" t="s">
        <v>25</v>
      </c>
      <c r="I415" s="5">
        <v>44682</v>
      </c>
      <c r="J415" s="6">
        <v>0</v>
      </c>
      <c r="K415" s="6">
        <v>0</v>
      </c>
      <c r="L415" s="6">
        <v>130.57300000000001</v>
      </c>
      <c r="M415" s="6">
        <v>130.57300000000001</v>
      </c>
      <c r="N415" s="6">
        <v>130.57300000000001</v>
      </c>
      <c r="O415" s="6">
        <v>130.57300000000001</v>
      </c>
      <c r="P415" s="6">
        <v>6</v>
      </c>
      <c r="Q415" s="4" t="s">
        <v>26</v>
      </c>
      <c r="R415" s="4">
        <v>0</v>
      </c>
      <c r="S415" s="4" t="s">
        <v>305</v>
      </c>
      <c r="T415" s="4" t="s">
        <v>494</v>
      </c>
      <c r="U415" s="4">
        <v>0</v>
      </c>
      <c r="V415" s="4">
        <v>70</v>
      </c>
      <c r="W415" s="4">
        <v>45</v>
      </c>
    </row>
    <row r="416" spans="1:23" ht="11.25" customHeight="1" x14ac:dyDescent="0.3">
      <c r="A416" s="4" t="s">
        <v>21</v>
      </c>
      <c r="B416" s="4" t="s">
        <v>46</v>
      </c>
      <c r="C416" s="4" t="s">
        <v>23</v>
      </c>
      <c r="D416" s="4" t="s">
        <v>47</v>
      </c>
      <c r="E416" s="4" t="s">
        <v>49</v>
      </c>
      <c r="F416" s="4" t="s">
        <v>25</v>
      </c>
      <c r="G416" s="4" t="s">
        <v>25</v>
      </c>
      <c r="H416" s="4" t="s">
        <v>25</v>
      </c>
      <c r="I416" s="5">
        <v>44713</v>
      </c>
      <c r="J416" s="6">
        <v>0</v>
      </c>
      <c r="K416" s="6">
        <v>0</v>
      </c>
      <c r="L416" s="6">
        <v>133.34200000000001</v>
      </c>
      <c r="M416" s="6">
        <v>133.34200000000001</v>
      </c>
      <c r="N416" s="6">
        <v>133.34200000000001</v>
      </c>
      <c r="O416" s="6">
        <v>133.34200000000001</v>
      </c>
      <c r="P416" s="6">
        <v>6</v>
      </c>
      <c r="Q416" s="4" t="s">
        <v>26</v>
      </c>
      <c r="R416" s="4">
        <v>0</v>
      </c>
      <c r="S416" s="4" t="s">
        <v>306</v>
      </c>
      <c r="T416" s="4" t="s">
        <v>495</v>
      </c>
      <c r="U416" s="4">
        <v>0</v>
      </c>
      <c r="V416" s="4">
        <v>70</v>
      </c>
      <c r="W416" s="4">
        <v>45</v>
      </c>
    </row>
    <row r="417" spans="1:23" ht="11.25" customHeight="1" x14ac:dyDescent="0.3">
      <c r="A417" s="4" t="s">
        <v>21</v>
      </c>
      <c r="B417" s="4" t="s">
        <v>46</v>
      </c>
      <c r="C417" s="4" t="s">
        <v>23</v>
      </c>
      <c r="D417" s="4" t="s">
        <v>47</v>
      </c>
      <c r="E417" s="4" t="s">
        <v>49</v>
      </c>
      <c r="F417" s="4" t="s">
        <v>25</v>
      </c>
      <c r="G417" s="4" t="s">
        <v>25</v>
      </c>
      <c r="H417" s="4" t="s">
        <v>25</v>
      </c>
      <c r="I417" s="5">
        <v>44743</v>
      </c>
      <c r="J417" s="6">
        <v>0</v>
      </c>
      <c r="K417" s="6">
        <v>0</v>
      </c>
      <c r="L417" s="6">
        <v>137.452</v>
      </c>
      <c r="M417" s="6">
        <v>137.452</v>
      </c>
      <c r="N417" s="6">
        <v>137.452</v>
      </c>
      <c r="O417" s="6">
        <v>137.452</v>
      </c>
      <c r="P417" s="6">
        <v>6</v>
      </c>
      <c r="Q417" s="4" t="s">
        <v>26</v>
      </c>
      <c r="R417" s="4">
        <v>0</v>
      </c>
      <c r="S417" s="4" t="s">
        <v>307</v>
      </c>
      <c r="T417" s="4" t="s">
        <v>496</v>
      </c>
      <c r="U417" s="4">
        <v>0</v>
      </c>
      <c r="V417" s="4">
        <v>70</v>
      </c>
      <c r="W417" s="4">
        <v>45</v>
      </c>
    </row>
    <row r="418" spans="1:23" ht="11.25" customHeight="1" x14ac:dyDescent="0.3">
      <c r="A418" s="4" t="s">
        <v>21</v>
      </c>
      <c r="B418" s="4" t="s">
        <v>46</v>
      </c>
      <c r="C418" s="4" t="s">
        <v>23</v>
      </c>
      <c r="D418" s="4" t="s">
        <v>47</v>
      </c>
      <c r="E418" s="4" t="s">
        <v>49</v>
      </c>
      <c r="F418" s="4" t="s">
        <v>25</v>
      </c>
      <c r="G418" s="4" t="s">
        <v>25</v>
      </c>
      <c r="H418" s="4" t="s">
        <v>25</v>
      </c>
      <c r="I418" s="5">
        <v>44774</v>
      </c>
      <c r="J418" s="6">
        <v>0</v>
      </c>
      <c r="K418" s="6">
        <v>0</v>
      </c>
      <c r="L418" s="6">
        <v>123.929</v>
      </c>
      <c r="M418" s="6">
        <v>123.929</v>
      </c>
      <c r="N418" s="6">
        <v>123.929</v>
      </c>
      <c r="O418" s="6">
        <v>123.929</v>
      </c>
      <c r="P418" s="6">
        <v>6</v>
      </c>
      <c r="Q418" s="4" t="s">
        <v>26</v>
      </c>
      <c r="R418" s="4">
        <v>0</v>
      </c>
      <c r="S418" s="4" t="s">
        <v>308</v>
      </c>
      <c r="T418" s="4" t="s">
        <v>497</v>
      </c>
      <c r="U418" s="4">
        <v>0</v>
      </c>
      <c r="V418" s="4">
        <v>70</v>
      </c>
      <c r="W418" s="4">
        <v>45</v>
      </c>
    </row>
  </sheetData>
  <sortState xmlns:xlrd2="http://schemas.microsoft.com/office/spreadsheetml/2017/richdata2" ref="A2:W418">
    <sortCondition ref="B2:B418"/>
    <sortCondition ref="C2:C418"/>
    <sortCondition ref="D2:D418"/>
    <sortCondition ref="E2:E418"/>
    <sortCondition ref="F2:F418"/>
    <sortCondition ref="H2:H41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92B3-FD23-4B00-91A5-E69BEC7E69FF}">
  <dimension ref="A1:H28"/>
  <sheetViews>
    <sheetView showGridLines="0" workbookViewId="0">
      <selection activeCell="H1" sqref="H1"/>
    </sheetView>
  </sheetViews>
  <sheetFormatPr defaultRowHeight="11.25" customHeight="1" x14ac:dyDescent="0.3"/>
  <cols>
    <col min="1" max="1" width="11.5546875" style="8" bestFit="1" customWidth="1"/>
    <col min="2" max="2" width="15.21875" style="8" bestFit="1" customWidth="1"/>
    <col min="3" max="3" width="4.33203125" style="8" bestFit="1" customWidth="1"/>
    <col min="4" max="4" width="6.109375" style="8" bestFit="1" customWidth="1"/>
    <col min="5" max="5" width="8.109375" style="8" bestFit="1" customWidth="1"/>
    <col min="6" max="6" width="8.88671875" style="8"/>
    <col min="7" max="7" width="17.33203125" style="8" bestFit="1" customWidth="1"/>
    <col min="8" max="8" width="2" style="8" bestFit="1" customWidth="1"/>
    <col min="9" max="16384" width="8.88671875" style="8"/>
  </cols>
  <sheetData>
    <row r="1" spans="1:8" s="7" customFormat="1" ht="11.25" customHeight="1" x14ac:dyDescent="0.3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G1" s="7" t="s">
        <v>59</v>
      </c>
      <c r="H1" s="7">
        <f>COUNTA(A:A)</f>
        <v>28</v>
      </c>
    </row>
    <row r="2" spans="1:8" ht="11.25" customHeight="1" x14ac:dyDescent="0.3">
      <c r="A2" s="8" t="s">
        <v>334</v>
      </c>
      <c r="B2" s="8" t="s">
        <v>335</v>
      </c>
      <c r="C2" s="8" t="s">
        <v>336</v>
      </c>
      <c r="D2" s="8">
        <v>39</v>
      </c>
      <c r="E2" s="8" t="s">
        <v>337</v>
      </c>
    </row>
    <row r="3" spans="1:8" ht="11.25" customHeight="1" x14ac:dyDescent="0.3">
      <c r="A3" s="8" t="s">
        <v>334</v>
      </c>
      <c r="B3" s="8" t="s">
        <v>335</v>
      </c>
      <c r="C3" s="8" t="s">
        <v>336</v>
      </c>
      <c r="D3" s="8">
        <v>40</v>
      </c>
      <c r="E3" s="8" t="s">
        <v>337</v>
      </c>
    </row>
    <row r="4" spans="1:8" ht="11.25" customHeight="1" x14ac:dyDescent="0.3">
      <c r="A4" s="8" t="s">
        <v>334</v>
      </c>
      <c r="B4" s="8" t="s">
        <v>335</v>
      </c>
      <c r="C4" s="8" t="s">
        <v>336</v>
      </c>
      <c r="D4" s="8">
        <v>41</v>
      </c>
      <c r="E4" s="8" t="s">
        <v>337</v>
      </c>
    </row>
    <row r="5" spans="1:8" ht="11.25" customHeight="1" x14ac:dyDescent="0.3">
      <c r="A5" s="8" t="s">
        <v>334</v>
      </c>
      <c r="B5" s="8" t="s">
        <v>335</v>
      </c>
      <c r="C5" s="8" t="s">
        <v>336</v>
      </c>
      <c r="D5" s="8">
        <v>42</v>
      </c>
      <c r="E5" s="8" t="s">
        <v>337</v>
      </c>
    </row>
    <row r="6" spans="1:8" ht="11.25" customHeight="1" x14ac:dyDescent="0.3">
      <c r="A6" s="8" t="s">
        <v>334</v>
      </c>
      <c r="B6" s="8" t="s">
        <v>335</v>
      </c>
      <c r="C6" s="8" t="s">
        <v>336</v>
      </c>
      <c r="D6" s="8">
        <v>43</v>
      </c>
      <c r="E6" s="8" t="s">
        <v>337</v>
      </c>
    </row>
    <row r="7" spans="1:8" ht="11.25" customHeight="1" x14ac:dyDescent="0.3">
      <c r="A7" s="8" t="s">
        <v>334</v>
      </c>
      <c r="B7" s="8" t="s">
        <v>335</v>
      </c>
      <c r="C7" s="8" t="s">
        <v>336</v>
      </c>
      <c r="D7" s="8">
        <v>44</v>
      </c>
      <c r="E7" s="8" t="s">
        <v>337</v>
      </c>
    </row>
    <row r="8" spans="1:8" ht="11.25" customHeight="1" x14ac:dyDescent="0.3">
      <c r="A8" s="8" t="s">
        <v>334</v>
      </c>
      <c r="B8" s="8" t="s">
        <v>335</v>
      </c>
      <c r="C8" s="8" t="s">
        <v>336</v>
      </c>
      <c r="D8" s="8">
        <v>45</v>
      </c>
      <c r="E8" s="8" t="s">
        <v>337</v>
      </c>
    </row>
    <row r="9" spans="1:8" ht="11.25" customHeight="1" x14ac:dyDescent="0.3">
      <c r="A9" s="8" t="s">
        <v>334</v>
      </c>
      <c r="B9" s="8" t="s">
        <v>335</v>
      </c>
      <c r="C9" s="8" t="s">
        <v>336</v>
      </c>
      <c r="D9" s="8">
        <v>46</v>
      </c>
      <c r="E9" s="8" t="s">
        <v>337</v>
      </c>
    </row>
    <row r="10" spans="1:8" ht="11.25" customHeight="1" x14ac:dyDescent="0.3">
      <c r="A10" s="8" t="s">
        <v>334</v>
      </c>
      <c r="B10" s="8" t="s">
        <v>335</v>
      </c>
      <c r="C10" s="8" t="s">
        <v>336</v>
      </c>
      <c r="D10" s="8">
        <v>47</v>
      </c>
      <c r="E10" s="8" t="s">
        <v>337</v>
      </c>
    </row>
    <row r="11" spans="1:8" ht="11.25" customHeight="1" x14ac:dyDescent="0.3">
      <c r="A11" s="8" t="s">
        <v>334</v>
      </c>
      <c r="B11" s="8" t="s">
        <v>335</v>
      </c>
      <c r="C11" s="8" t="s">
        <v>336</v>
      </c>
      <c r="D11" s="8">
        <v>48</v>
      </c>
      <c r="E11" s="8" t="s">
        <v>337</v>
      </c>
    </row>
    <row r="12" spans="1:8" ht="11.25" customHeight="1" x14ac:dyDescent="0.3">
      <c r="A12" s="8" t="s">
        <v>334</v>
      </c>
      <c r="B12" s="8" t="s">
        <v>335</v>
      </c>
      <c r="C12" s="8" t="s">
        <v>336</v>
      </c>
      <c r="D12" s="8">
        <v>49</v>
      </c>
      <c r="E12" s="8" t="s">
        <v>337</v>
      </c>
    </row>
    <row r="13" spans="1:8" ht="11.25" customHeight="1" x14ac:dyDescent="0.3">
      <c r="A13" s="8" t="s">
        <v>334</v>
      </c>
      <c r="B13" s="8" t="s">
        <v>335</v>
      </c>
      <c r="C13" s="8" t="s">
        <v>336</v>
      </c>
      <c r="D13" s="8">
        <v>50</v>
      </c>
      <c r="E13" s="8" t="s">
        <v>337</v>
      </c>
    </row>
    <row r="14" spans="1:8" ht="11.25" customHeight="1" x14ac:dyDescent="0.3">
      <c r="A14" s="8" t="s">
        <v>334</v>
      </c>
      <c r="B14" s="8" t="s">
        <v>335</v>
      </c>
      <c r="C14" s="8" t="s">
        <v>336</v>
      </c>
      <c r="D14" s="8">
        <v>51</v>
      </c>
      <c r="E14" s="8" t="s">
        <v>337</v>
      </c>
    </row>
    <row r="15" spans="1:8" ht="11.25" customHeight="1" x14ac:dyDescent="0.3">
      <c r="A15" s="8" t="s">
        <v>334</v>
      </c>
      <c r="B15" s="8" t="s">
        <v>335</v>
      </c>
      <c r="C15" s="8" t="s">
        <v>336</v>
      </c>
      <c r="D15" s="8">
        <v>77</v>
      </c>
      <c r="E15" s="8" t="s">
        <v>337</v>
      </c>
    </row>
    <row r="16" spans="1:8" ht="11.25" customHeight="1" x14ac:dyDescent="0.3">
      <c r="A16" s="8" t="s">
        <v>334</v>
      </c>
      <c r="B16" s="8" t="s">
        <v>335</v>
      </c>
      <c r="C16" s="8" t="s">
        <v>336</v>
      </c>
      <c r="D16" s="8">
        <v>78</v>
      </c>
      <c r="E16" s="8" t="s">
        <v>337</v>
      </c>
    </row>
    <row r="17" spans="1:5" ht="11.25" customHeight="1" x14ac:dyDescent="0.3">
      <c r="A17" s="8" t="s">
        <v>334</v>
      </c>
      <c r="B17" s="8" t="s">
        <v>335</v>
      </c>
      <c r="C17" s="8" t="s">
        <v>336</v>
      </c>
      <c r="D17" s="8">
        <v>79</v>
      </c>
      <c r="E17" s="8" t="s">
        <v>337</v>
      </c>
    </row>
    <row r="18" spans="1:5" ht="11.25" customHeight="1" x14ac:dyDescent="0.3">
      <c r="A18" s="8" t="s">
        <v>334</v>
      </c>
      <c r="B18" s="8" t="s">
        <v>335</v>
      </c>
      <c r="C18" s="8" t="s">
        <v>336</v>
      </c>
      <c r="D18" s="8">
        <v>80</v>
      </c>
      <c r="E18" s="8" t="s">
        <v>337</v>
      </c>
    </row>
    <row r="19" spans="1:5" ht="11.25" customHeight="1" x14ac:dyDescent="0.3">
      <c r="A19" s="8" t="s">
        <v>334</v>
      </c>
      <c r="B19" s="8" t="s">
        <v>335</v>
      </c>
      <c r="C19" s="8" t="s">
        <v>336</v>
      </c>
      <c r="D19" s="8">
        <v>81</v>
      </c>
      <c r="E19" s="8" t="s">
        <v>337</v>
      </c>
    </row>
    <row r="20" spans="1:5" ht="11.25" customHeight="1" x14ac:dyDescent="0.3">
      <c r="A20" s="8" t="s">
        <v>334</v>
      </c>
      <c r="B20" s="8" t="s">
        <v>335</v>
      </c>
      <c r="C20" s="8" t="s">
        <v>336</v>
      </c>
      <c r="D20" s="8">
        <v>82</v>
      </c>
      <c r="E20" s="8" t="s">
        <v>337</v>
      </c>
    </row>
    <row r="21" spans="1:5" ht="11.25" customHeight="1" x14ac:dyDescent="0.3">
      <c r="A21" s="8" t="s">
        <v>334</v>
      </c>
      <c r="B21" s="8" t="s">
        <v>335</v>
      </c>
      <c r="C21" s="8" t="s">
        <v>336</v>
      </c>
      <c r="D21" s="8">
        <v>83</v>
      </c>
      <c r="E21" s="8" t="s">
        <v>337</v>
      </c>
    </row>
    <row r="22" spans="1:5" ht="11.25" customHeight="1" x14ac:dyDescent="0.3">
      <c r="A22" s="8" t="s">
        <v>334</v>
      </c>
      <c r="B22" s="8" t="s">
        <v>335</v>
      </c>
      <c r="C22" s="8" t="s">
        <v>336</v>
      </c>
      <c r="D22" s="8">
        <v>84</v>
      </c>
      <c r="E22" s="8" t="s">
        <v>337</v>
      </c>
    </row>
    <row r="23" spans="1:5" ht="11.25" customHeight="1" x14ac:dyDescent="0.3">
      <c r="A23" s="8" t="s">
        <v>334</v>
      </c>
      <c r="B23" s="8" t="s">
        <v>335</v>
      </c>
      <c r="C23" s="8" t="s">
        <v>336</v>
      </c>
      <c r="D23" s="8">
        <v>85</v>
      </c>
      <c r="E23" s="8" t="s">
        <v>337</v>
      </c>
    </row>
    <row r="24" spans="1:5" ht="11.25" customHeight="1" x14ac:dyDescent="0.3">
      <c r="A24" s="8" t="s">
        <v>334</v>
      </c>
      <c r="B24" s="8" t="s">
        <v>335</v>
      </c>
      <c r="C24" s="8" t="s">
        <v>336</v>
      </c>
      <c r="D24" s="8">
        <v>86</v>
      </c>
      <c r="E24" s="8" t="s">
        <v>337</v>
      </c>
    </row>
    <row r="25" spans="1:5" ht="11.25" customHeight="1" x14ac:dyDescent="0.3">
      <c r="A25" s="8" t="s">
        <v>334</v>
      </c>
      <c r="B25" s="8" t="s">
        <v>335</v>
      </c>
      <c r="C25" s="8" t="s">
        <v>336</v>
      </c>
      <c r="D25" s="8">
        <v>87</v>
      </c>
      <c r="E25" s="8" t="s">
        <v>337</v>
      </c>
    </row>
    <row r="26" spans="1:5" ht="11.25" customHeight="1" x14ac:dyDescent="0.3">
      <c r="A26" s="8" t="s">
        <v>334</v>
      </c>
      <c r="B26" s="8" t="s">
        <v>335</v>
      </c>
      <c r="C26" s="8" t="s">
        <v>336</v>
      </c>
      <c r="D26" s="8">
        <v>88</v>
      </c>
      <c r="E26" s="8" t="s">
        <v>337</v>
      </c>
    </row>
    <row r="27" spans="1:5" ht="11.25" customHeight="1" x14ac:dyDescent="0.3">
      <c r="A27" s="8" t="s">
        <v>334</v>
      </c>
      <c r="C27" s="8" t="s">
        <v>587</v>
      </c>
      <c r="D27" s="8">
        <v>40</v>
      </c>
      <c r="E27" s="8" t="s">
        <v>9</v>
      </c>
    </row>
    <row r="28" spans="1:5" ht="11.25" customHeight="1" x14ac:dyDescent="0.3">
      <c r="A28" s="8" t="s">
        <v>334</v>
      </c>
      <c r="C28" s="8" t="s">
        <v>587</v>
      </c>
      <c r="D28" s="8">
        <v>40</v>
      </c>
      <c r="E28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1A43-E3C9-4084-8C23-08C37C8464F3}">
  <dimension ref="A1:AX85"/>
  <sheetViews>
    <sheetView showGridLines="0" workbookViewId="0"/>
  </sheetViews>
  <sheetFormatPr defaultRowHeight="10.199999999999999" x14ac:dyDescent="0.3"/>
  <cols>
    <col min="1" max="1" width="4.33203125" style="8" bestFit="1" customWidth="1"/>
    <col min="2" max="2" width="8" style="8" bestFit="1" customWidth="1"/>
    <col min="3" max="3" width="7.6640625" style="8" bestFit="1" customWidth="1"/>
    <col min="4" max="4" width="24.6640625" style="8" bestFit="1" customWidth="1"/>
    <col min="5" max="5" width="12.6640625" style="8" bestFit="1" customWidth="1"/>
    <col min="6" max="6" width="23.109375" style="8" bestFit="1" customWidth="1"/>
    <col min="7" max="9" width="9.5546875" style="8" bestFit="1" customWidth="1"/>
    <col min="10" max="10" width="6.44140625" style="8" bestFit="1" customWidth="1"/>
    <col min="11" max="11" width="3.88671875" style="8" bestFit="1" customWidth="1"/>
    <col min="12" max="12" width="4.21875" style="8" bestFit="1" customWidth="1"/>
    <col min="13" max="13" width="5.88671875" style="8" bestFit="1" customWidth="1"/>
    <col min="14" max="14" width="5.5546875" style="8" bestFit="1" customWidth="1"/>
    <col min="15" max="15" width="10.33203125" style="8" bestFit="1" customWidth="1"/>
    <col min="16" max="16" width="9.33203125" style="8" bestFit="1" customWidth="1"/>
    <col min="17" max="16384" width="8.88671875" style="8"/>
  </cols>
  <sheetData>
    <row r="1" spans="1:50" ht="11.25" customHeight="1" x14ac:dyDescent="0.3">
      <c r="A1" s="30" t="s">
        <v>647</v>
      </c>
      <c r="B1" s="30" t="s">
        <v>638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639</v>
      </c>
      <c r="K1" s="30" t="s">
        <v>640</v>
      </c>
      <c r="L1" s="30" t="s">
        <v>641</v>
      </c>
      <c r="M1" s="30" t="s">
        <v>642</v>
      </c>
      <c r="N1" s="30" t="s">
        <v>643</v>
      </c>
      <c r="O1" s="30" t="s">
        <v>519</v>
      </c>
      <c r="P1" s="30" t="s">
        <v>505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3">
      <c r="A2" s="31">
        <v>1</v>
      </c>
      <c r="B2" s="31" t="s">
        <v>499</v>
      </c>
      <c r="C2" s="31" t="s">
        <v>37</v>
      </c>
      <c r="D2" s="31" t="s">
        <v>41</v>
      </c>
      <c r="E2" s="31" t="s">
        <v>25</v>
      </c>
      <c r="F2" s="31" t="s">
        <v>25</v>
      </c>
      <c r="G2" s="31" t="s">
        <v>25</v>
      </c>
      <c r="H2" s="31" t="s">
        <v>25</v>
      </c>
      <c r="I2" s="31" t="s">
        <v>39</v>
      </c>
      <c r="J2" s="31" t="s">
        <v>644</v>
      </c>
      <c r="K2" s="31" t="s">
        <v>645</v>
      </c>
      <c r="L2" s="31" t="s">
        <v>75</v>
      </c>
      <c r="M2" s="31">
        <v>2021</v>
      </c>
      <c r="N2" s="31">
        <v>0</v>
      </c>
      <c r="O2" s="31">
        <v>89.42</v>
      </c>
      <c r="P2" s="31">
        <v>0</v>
      </c>
    </row>
    <row r="3" spans="1:50" ht="11.25" customHeight="1" x14ac:dyDescent="0.3">
      <c r="A3" s="31">
        <v>2</v>
      </c>
      <c r="B3" s="31" t="s">
        <v>527</v>
      </c>
      <c r="C3" s="31" t="s">
        <v>22</v>
      </c>
      <c r="D3" s="31" t="s">
        <v>84</v>
      </c>
      <c r="E3" s="31" t="s">
        <v>24</v>
      </c>
      <c r="F3" s="31" t="s">
        <v>32</v>
      </c>
      <c r="G3" s="31" t="s">
        <v>25</v>
      </c>
      <c r="H3" s="31" t="s">
        <v>25</v>
      </c>
      <c r="I3" s="31" t="s">
        <v>25</v>
      </c>
      <c r="J3" s="31" t="s">
        <v>646</v>
      </c>
      <c r="K3" s="31" t="s">
        <v>645</v>
      </c>
      <c r="L3" s="31" t="s">
        <v>70</v>
      </c>
      <c r="M3" s="31">
        <v>2021</v>
      </c>
      <c r="N3" s="31">
        <v>0</v>
      </c>
      <c r="O3" s="31">
        <v>185.74</v>
      </c>
      <c r="P3" s="31"/>
    </row>
    <row r="4" spans="1:50" ht="11.25" customHeight="1" x14ac:dyDescent="0.3">
      <c r="A4" s="31">
        <v>3</v>
      </c>
      <c r="B4" s="31" t="s">
        <v>527</v>
      </c>
      <c r="C4" s="31" t="s">
        <v>43</v>
      </c>
      <c r="D4" s="31" t="s">
        <v>69</v>
      </c>
      <c r="E4" s="31" t="s">
        <v>44</v>
      </c>
      <c r="F4" s="31" t="s">
        <v>25</v>
      </c>
      <c r="G4" s="31" t="s">
        <v>25</v>
      </c>
      <c r="H4" s="31" t="s">
        <v>25</v>
      </c>
      <c r="I4" s="31" t="s">
        <v>39</v>
      </c>
      <c r="J4" s="31" t="s">
        <v>646</v>
      </c>
      <c r="K4" s="31" t="s">
        <v>645</v>
      </c>
      <c r="L4" s="31" t="s">
        <v>70</v>
      </c>
      <c r="M4" s="31">
        <v>2021</v>
      </c>
      <c r="N4" s="31">
        <v>0</v>
      </c>
      <c r="O4" s="31">
        <v>163.44999999999999</v>
      </c>
      <c r="P4" s="31"/>
    </row>
    <row r="5" spans="1:50" ht="11.25" customHeight="1" x14ac:dyDescent="0.3">
      <c r="A5" s="31">
        <v>4</v>
      </c>
      <c r="B5" s="31" t="s">
        <v>499</v>
      </c>
      <c r="C5" s="31" t="s">
        <v>37</v>
      </c>
      <c r="D5" s="31" t="s">
        <v>41</v>
      </c>
      <c r="E5" s="31" t="s">
        <v>25</v>
      </c>
      <c r="F5" s="31" t="s">
        <v>25</v>
      </c>
      <c r="G5" s="31" t="s">
        <v>25</v>
      </c>
      <c r="H5" s="31" t="s">
        <v>25</v>
      </c>
      <c r="I5" s="31" t="s">
        <v>34</v>
      </c>
      <c r="J5" s="31" t="s">
        <v>644</v>
      </c>
      <c r="K5" s="31" t="s">
        <v>645</v>
      </c>
      <c r="L5" s="31" t="s">
        <v>75</v>
      </c>
      <c r="M5" s="31">
        <v>2021</v>
      </c>
      <c r="N5" s="31">
        <v>0</v>
      </c>
      <c r="O5" s="31">
        <v>29.51</v>
      </c>
      <c r="P5" s="31">
        <v>0</v>
      </c>
    </row>
    <row r="6" spans="1:50" ht="11.25" customHeight="1" x14ac:dyDescent="0.3">
      <c r="A6" s="31">
        <v>5</v>
      </c>
      <c r="B6" s="31" t="s">
        <v>527</v>
      </c>
      <c r="C6" s="31" t="s">
        <v>43</v>
      </c>
      <c r="D6" s="31" t="s">
        <v>69</v>
      </c>
      <c r="E6" s="31" t="s">
        <v>44</v>
      </c>
      <c r="F6" s="31" t="s">
        <v>25</v>
      </c>
      <c r="G6" s="31" t="s">
        <v>25</v>
      </c>
      <c r="H6" s="31" t="s">
        <v>25</v>
      </c>
      <c r="I6" s="31" t="s">
        <v>42</v>
      </c>
      <c r="J6" s="31" t="s">
        <v>646</v>
      </c>
      <c r="K6" s="31" t="s">
        <v>645</v>
      </c>
      <c r="L6" s="31" t="s">
        <v>70</v>
      </c>
      <c r="M6" s="31">
        <v>2021</v>
      </c>
      <c r="N6" s="31">
        <v>0</v>
      </c>
      <c r="O6" s="31">
        <v>163.44999999999999</v>
      </c>
      <c r="P6" s="31"/>
    </row>
    <row r="7" spans="1:50" ht="11.25" customHeight="1" x14ac:dyDescent="0.3">
      <c r="A7" s="31">
        <v>6</v>
      </c>
      <c r="B7" s="31" t="s">
        <v>499</v>
      </c>
      <c r="C7" s="31" t="s">
        <v>37</v>
      </c>
      <c r="D7" s="31" t="s">
        <v>41</v>
      </c>
      <c r="E7" s="31" t="s">
        <v>25</v>
      </c>
      <c r="F7" s="31" t="s">
        <v>25</v>
      </c>
      <c r="G7" s="31" t="s">
        <v>25</v>
      </c>
      <c r="H7" s="31" t="s">
        <v>25</v>
      </c>
      <c r="I7" s="31" t="s">
        <v>25</v>
      </c>
      <c r="J7" s="31" t="s">
        <v>646</v>
      </c>
      <c r="K7" s="31" t="s">
        <v>645</v>
      </c>
      <c r="L7" s="31" t="s">
        <v>70</v>
      </c>
      <c r="M7" s="31">
        <v>2021</v>
      </c>
      <c r="N7" s="31">
        <v>0</v>
      </c>
      <c r="O7" s="31">
        <v>73.98</v>
      </c>
      <c r="P7" s="31">
        <v>50.885603599661103</v>
      </c>
    </row>
    <row r="8" spans="1:50" ht="11.25" customHeight="1" x14ac:dyDescent="0.3">
      <c r="A8" s="31">
        <v>7</v>
      </c>
      <c r="B8" s="31" t="s">
        <v>527</v>
      </c>
      <c r="C8" s="31" t="s">
        <v>43</v>
      </c>
      <c r="D8" s="31" t="s">
        <v>69</v>
      </c>
      <c r="E8" s="31" t="s">
        <v>44</v>
      </c>
      <c r="F8" s="31" t="s">
        <v>25</v>
      </c>
      <c r="G8" s="31" t="s">
        <v>25</v>
      </c>
      <c r="H8" s="31" t="s">
        <v>25</v>
      </c>
      <c r="I8" s="31" t="s">
        <v>34</v>
      </c>
      <c r="J8" s="31" t="s">
        <v>646</v>
      </c>
      <c r="K8" s="31" t="s">
        <v>645</v>
      </c>
      <c r="L8" s="31" t="s">
        <v>70</v>
      </c>
      <c r="M8" s="31">
        <v>2021</v>
      </c>
      <c r="N8" s="31">
        <v>0</v>
      </c>
      <c r="O8" s="31">
        <v>163.44999999999999</v>
      </c>
      <c r="P8" s="31"/>
    </row>
    <row r="9" spans="1:50" ht="11.25" customHeight="1" x14ac:dyDescent="0.3">
      <c r="A9" s="31">
        <v>8</v>
      </c>
      <c r="B9" s="31" t="s">
        <v>499</v>
      </c>
      <c r="C9" s="31" t="s">
        <v>37</v>
      </c>
      <c r="D9" s="31" t="s">
        <v>41</v>
      </c>
      <c r="E9" s="31" t="s">
        <v>25</v>
      </c>
      <c r="F9" s="31" t="s">
        <v>25</v>
      </c>
      <c r="G9" s="31" t="s">
        <v>78</v>
      </c>
      <c r="H9" s="31" t="s">
        <v>25</v>
      </c>
      <c r="I9" s="31" t="s">
        <v>25</v>
      </c>
      <c r="J9" s="31" t="s">
        <v>646</v>
      </c>
      <c r="K9" s="31" t="s">
        <v>645</v>
      </c>
      <c r="L9" s="31" t="s">
        <v>70</v>
      </c>
      <c r="M9" s="31">
        <v>2021</v>
      </c>
      <c r="N9" s="31">
        <v>0</v>
      </c>
      <c r="O9" s="31">
        <v>13.97</v>
      </c>
      <c r="P9" s="31">
        <v>0</v>
      </c>
    </row>
    <row r="10" spans="1:50" ht="11.25" customHeight="1" x14ac:dyDescent="0.3">
      <c r="A10" s="31">
        <v>9</v>
      </c>
      <c r="B10" s="31" t="s">
        <v>527</v>
      </c>
      <c r="C10" s="31" t="s">
        <v>43</v>
      </c>
      <c r="D10" s="31" t="s">
        <v>73</v>
      </c>
      <c r="E10" s="31" t="s">
        <v>44</v>
      </c>
      <c r="F10" s="31" t="s">
        <v>25</v>
      </c>
      <c r="G10" s="31" t="s">
        <v>25</v>
      </c>
      <c r="H10" s="31" t="s">
        <v>25</v>
      </c>
      <c r="I10" s="31" t="s">
        <v>25</v>
      </c>
      <c r="J10" s="31" t="s">
        <v>646</v>
      </c>
      <c r="K10" s="31" t="s">
        <v>645</v>
      </c>
      <c r="L10" s="31" t="s">
        <v>70</v>
      </c>
      <c r="M10" s="31">
        <v>2021</v>
      </c>
      <c r="N10" s="31">
        <v>0</v>
      </c>
      <c r="O10" s="31">
        <v>163.44999999999999</v>
      </c>
      <c r="P10" s="31"/>
    </row>
    <row r="11" spans="1:50" ht="11.25" customHeight="1" x14ac:dyDescent="0.3">
      <c r="A11" s="31">
        <v>10</v>
      </c>
      <c r="B11" s="31" t="s">
        <v>499</v>
      </c>
      <c r="C11" s="31" t="s">
        <v>37</v>
      </c>
      <c r="D11" s="31" t="s">
        <v>79</v>
      </c>
      <c r="E11" s="31" t="s">
        <v>25</v>
      </c>
      <c r="F11" s="31" t="s">
        <v>25</v>
      </c>
      <c r="G11" s="31" t="s">
        <v>25</v>
      </c>
      <c r="H11" s="31" t="s">
        <v>25</v>
      </c>
      <c r="I11" s="31" t="s">
        <v>25</v>
      </c>
      <c r="J11" s="31" t="s">
        <v>644</v>
      </c>
      <c r="K11" s="31" t="s">
        <v>645</v>
      </c>
      <c r="L11" s="31" t="s">
        <v>75</v>
      </c>
      <c r="M11" s="31">
        <v>2021</v>
      </c>
      <c r="N11" s="31">
        <v>0</v>
      </c>
      <c r="O11" s="31">
        <v>4.04</v>
      </c>
      <c r="P11" s="31">
        <v>0</v>
      </c>
    </row>
    <row r="12" spans="1:50" ht="11.25" customHeight="1" x14ac:dyDescent="0.3">
      <c r="A12" s="31">
        <v>11</v>
      </c>
      <c r="B12" s="31" t="s">
        <v>527</v>
      </c>
      <c r="C12" s="31" t="s">
        <v>43</v>
      </c>
      <c r="D12" s="31" t="s">
        <v>69</v>
      </c>
      <c r="E12" s="31" t="s">
        <v>44</v>
      </c>
      <c r="F12" s="31" t="s">
        <v>86</v>
      </c>
      <c r="G12" s="31" t="s">
        <v>25</v>
      </c>
      <c r="H12" s="31" t="s">
        <v>25</v>
      </c>
      <c r="I12" s="31" t="s">
        <v>39</v>
      </c>
      <c r="J12" s="31" t="s">
        <v>646</v>
      </c>
      <c r="K12" s="31" t="s">
        <v>645</v>
      </c>
      <c r="L12" s="31" t="s">
        <v>70</v>
      </c>
      <c r="M12" s="31">
        <v>2021</v>
      </c>
      <c r="N12" s="31">
        <v>0</v>
      </c>
      <c r="O12" s="31">
        <v>163.44999999999999</v>
      </c>
      <c r="P12" s="31"/>
    </row>
    <row r="13" spans="1:50" ht="11.25" customHeight="1" x14ac:dyDescent="0.3">
      <c r="A13" s="31">
        <v>12</v>
      </c>
      <c r="B13" s="31" t="s">
        <v>499</v>
      </c>
      <c r="C13" s="31" t="s">
        <v>37</v>
      </c>
      <c r="D13" s="31" t="s">
        <v>38</v>
      </c>
      <c r="E13" s="31" t="s">
        <v>25</v>
      </c>
      <c r="F13" s="31" t="s">
        <v>25</v>
      </c>
      <c r="G13" s="31" t="s">
        <v>25</v>
      </c>
      <c r="H13" s="31" t="s">
        <v>25</v>
      </c>
      <c r="I13" s="31" t="s">
        <v>25</v>
      </c>
      <c r="J13" s="31" t="s">
        <v>644</v>
      </c>
      <c r="K13" s="31" t="s">
        <v>645</v>
      </c>
      <c r="L13" s="31" t="s">
        <v>75</v>
      </c>
      <c r="M13" s="31">
        <v>2021</v>
      </c>
      <c r="N13" s="31">
        <v>0</v>
      </c>
      <c r="O13" s="31">
        <v>29.51</v>
      </c>
      <c r="P13" s="31">
        <v>0</v>
      </c>
    </row>
    <row r="14" spans="1:50" ht="11.25" customHeight="1" x14ac:dyDescent="0.3">
      <c r="A14" s="31">
        <v>13</v>
      </c>
      <c r="B14" s="31" t="s">
        <v>527</v>
      </c>
      <c r="C14" s="31" t="s">
        <v>43</v>
      </c>
      <c r="D14" s="31" t="s">
        <v>69</v>
      </c>
      <c r="E14" s="31" t="s">
        <v>44</v>
      </c>
      <c r="F14" s="31" t="s">
        <v>86</v>
      </c>
      <c r="G14" s="31" t="s">
        <v>25</v>
      </c>
      <c r="H14" s="31" t="s">
        <v>25</v>
      </c>
      <c r="I14" s="31" t="s">
        <v>42</v>
      </c>
      <c r="J14" s="31" t="s">
        <v>646</v>
      </c>
      <c r="K14" s="31" t="s">
        <v>645</v>
      </c>
      <c r="L14" s="31" t="s">
        <v>70</v>
      </c>
      <c r="M14" s="31">
        <v>2021</v>
      </c>
      <c r="N14" s="31">
        <v>0</v>
      </c>
      <c r="O14" s="31">
        <v>163.44999999999999</v>
      </c>
      <c r="P14" s="31"/>
    </row>
    <row r="15" spans="1:50" ht="11.25" customHeight="1" x14ac:dyDescent="0.3">
      <c r="A15" s="31">
        <v>14</v>
      </c>
      <c r="B15" s="31" t="s">
        <v>499</v>
      </c>
      <c r="C15" s="31" t="s">
        <v>37</v>
      </c>
      <c r="D15" s="31" t="s">
        <v>38</v>
      </c>
      <c r="E15" s="31" t="s">
        <v>25</v>
      </c>
      <c r="F15" s="31" t="s">
        <v>25</v>
      </c>
      <c r="G15" s="31" t="s">
        <v>25</v>
      </c>
      <c r="H15" s="31" t="s">
        <v>25</v>
      </c>
      <c r="I15" s="31" t="s">
        <v>39</v>
      </c>
      <c r="J15" s="31" t="s">
        <v>646</v>
      </c>
      <c r="K15" s="31" t="s">
        <v>645</v>
      </c>
      <c r="L15" s="31" t="s">
        <v>70</v>
      </c>
      <c r="M15" s="31">
        <v>2021</v>
      </c>
      <c r="N15" s="31">
        <v>0</v>
      </c>
      <c r="O15" s="31">
        <v>2224.88</v>
      </c>
      <c r="P15" s="31">
        <v>50.885603599661103</v>
      </c>
    </row>
    <row r="16" spans="1:50" ht="11.25" customHeight="1" x14ac:dyDescent="0.3">
      <c r="A16" s="31">
        <v>15</v>
      </c>
      <c r="B16" s="31" t="s">
        <v>527</v>
      </c>
      <c r="C16" s="31" t="s">
        <v>43</v>
      </c>
      <c r="D16" s="31" t="s">
        <v>69</v>
      </c>
      <c r="E16" s="31" t="s">
        <v>44</v>
      </c>
      <c r="F16" s="31" t="s">
        <v>86</v>
      </c>
      <c r="G16" s="31" t="s">
        <v>25</v>
      </c>
      <c r="H16" s="31" t="s">
        <v>25</v>
      </c>
      <c r="I16" s="31" t="s">
        <v>34</v>
      </c>
      <c r="J16" s="31" t="s">
        <v>646</v>
      </c>
      <c r="K16" s="31" t="s">
        <v>645</v>
      </c>
      <c r="L16" s="31" t="s">
        <v>70</v>
      </c>
      <c r="M16" s="31">
        <v>2021</v>
      </c>
      <c r="N16" s="31">
        <v>0</v>
      </c>
      <c r="O16" s="31">
        <v>163.44999999999999</v>
      </c>
      <c r="P16" s="31"/>
    </row>
    <row r="17" spans="1:16" ht="11.25" customHeight="1" x14ac:dyDescent="0.3">
      <c r="A17" s="31">
        <v>16</v>
      </c>
      <c r="B17" s="31" t="s">
        <v>499</v>
      </c>
      <c r="C17" s="31" t="s">
        <v>37</v>
      </c>
      <c r="D17" s="31" t="s">
        <v>38</v>
      </c>
      <c r="E17" s="31" t="s">
        <v>25</v>
      </c>
      <c r="F17" s="31" t="s">
        <v>25</v>
      </c>
      <c r="G17" s="31" t="s">
        <v>25</v>
      </c>
      <c r="H17" s="31" t="s">
        <v>25</v>
      </c>
      <c r="I17" s="31" t="s">
        <v>34</v>
      </c>
      <c r="J17" s="31" t="s">
        <v>646</v>
      </c>
      <c r="K17" s="31" t="s">
        <v>645</v>
      </c>
      <c r="L17" s="31" t="s">
        <v>70</v>
      </c>
      <c r="M17" s="31">
        <v>2021</v>
      </c>
      <c r="N17" s="31">
        <v>0</v>
      </c>
      <c r="O17" s="31">
        <v>73.98</v>
      </c>
      <c r="P17" s="31">
        <v>50.885603599661103</v>
      </c>
    </row>
    <row r="18" spans="1:16" ht="11.25" customHeight="1" x14ac:dyDescent="0.3">
      <c r="A18" s="31">
        <v>17</v>
      </c>
      <c r="B18" s="31" t="s">
        <v>527</v>
      </c>
      <c r="C18" s="31" t="s">
        <v>43</v>
      </c>
      <c r="D18" s="31" t="s">
        <v>73</v>
      </c>
      <c r="E18" s="31" t="s">
        <v>44</v>
      </c>
      <c r="F18" s="31" t="s">
        <v>86</v>
      </c>
      <c r="G18" s="31" t="s">
        <v>25</v>
      </c>
      <c r="H18" s="31" t="s">
        <v>25</v>
      </c>
      <c r="I18" s="31" t="s">
        <v>25</v>
      </c>
      <c r="J18" s="31" t="s">
        <v>646</v>
      </c>
      <c r="K18" s="31" t="s">
        <v>645</v>
      </c>
      <c r="L18" s="31" t="s">
        <v>70</v>
      </c>
      <c r="M18" s="31">
        <v>2021</v>
      </c>
      <c r="N18" s="31">
        <v>0</v>
      </c>
      <c r="O18" s="31">
        <v>163.44999999999999</v>
      </c>
      <c r="P18" s="31"/>
    </row>
    <row r="19" spans="1:16" ht="11.25" customHeight="1" x14ac:dyDescent="0.3">
      <c r="A19" s="31">
        <v>18</v>
      </c>
      <c r="B19" s="31" t="s">
        <v>499</v>
      </c>
      <c r="C19" s="31" t="s">
        <v>37</v>
      </c>
      <c r="D19" s="31" t="s">
        <v>38</v>
      </c>
      <c r="E19" s="31" t="s">
        <v>25</v>
      </c>
      <c r="F19" s="31" t="s">
        <v>25</v>
      </c>
      <c r="G19" s="31" t="s">
        <v>78</v>
      </c>
      <c r="H19" s="31" t="s">
        <v>25</v>
      </c>
      <c r="I19" s="31" t="s">
        <v>39</v>
      </c>
      <c r="J19" s="31" t="s">
        <v>646</v>
      </c>
      <c r="K19" s="31" t="s">
        <v>645</v>
      </c>
      <c r="L19" s="31" t="s">
        <v>70</v>
      </c>
      <c r="M19" s="31">
        <v>2021</v>
      </c>
      <c r="N19" s="31">
        <v>0</v>
      </c>
      <c r="O19" s="31">
        <v>2164.87</v>
      </c>
      <c r="P19" s="31">
        <v>0</v>
      </c>
    </row>
    <row r="20" spans="1:16" ht="11.25" customHeight="1" x14ac:dyDescent="0.3">
      <c r="A20" s="31">
        <v>19</v>
      </c>
      <c r="B20" s="31" t="s">
        <v>527</v>
      </c>
      <c r="C20" s="31" t="s">
        <v>43</v>
      </c>
      <c r="D20" s="31" t="s">
        <v>69</v>
      </c>
      <c r="E20" s="31" t="s">
        <v>44</v>
      </c>
      <c r="F20" s="31" t="s">
        <v>87</v>
      </c>
      <c r="G20" s="31" t="s">
        <v>25</v>
      </c>
      <c r="H20" s="31" t="s">
        <v>25</v>
      </c>
      <c r="I20" s="31" t="s">
        <v>39</v>
      </c>
      <c r="J20" s="31" t="s">
        <v>646</v>
      </c>
      <c r="K20" s="31" t="s">
        <v>645</v>
      </c>
      <c r="L20" s="31" t="s">
        <v>70</v>
      </c>
      <c r="M20" s="31">
        <v>2021</v>
      </c>
      <c r="N20" s="31">
        <v>0</v>
      </c>
      <c r="O20" s="31">
        <v>156.03</v>
      </c>
      <c r="P20" s="31"/>
    </row>
    <row r="21" spans="1:16" ht="11.25" customHeight="1" x14ac:dyDescent="0.3">
      <c r="A21" s="31">
        <v>20</v>
      </c>
      <c r="B21" s="31" t="s">
        <v>499</v>
      </c>
      <c r="C21" s="31" t="s">
        <v>37</v>
      </c>
      <c r="D21" s="31" t="s">
        <v>38</v>
      </c>
      <c r="E21" s="31" t="s">
        <v>25</v>
      </c>
      <c r="F21" s="31" t="s">
        <v>25</v>
      </c>
      <c r="G21" s="31" t="s">
        <v>78</v>
      </c>
      <c r="H21" s="31" t="s">
        <v>25</v>
      </c>
      <c r="I21" s="31" t="s">
        <v>34</v>
      </c>
      <c r="J21" s="31" t="s">
        <v>646</v>
      </c>
      <c r="K21" s="31" t="s">
        <v>645</v>
      </c>
      <c r="L21" s="31" t="s">
        <v>70</v>
      </c>
      <c r="M21" s="31">
        <v>2021</v>
      </c>
      <c r="N21" s="31">
        <v>0</v>
      </c>
      <c r="O21" s="31">
        <v>13.97</v>
      </c>
      <c r="P21" s="31">
        <v>0</v>
      </c>
    </row>
    <row r="22" spans="1:16" ht="11.25" customHeight="1" x14ac:dyDescent="0.3">
      <c r="A22" s="31">
        <v>21</v>
      </c>
      <c r="B22" s="31" t="s">
        <v>527</v>
      </c>
      <c r="C22" s="31" t="s">
        <v>43</v>
      </c>
      <c r="D22" s="31" t="s">
        <v>69</v>
      </c>
      <c r="E22" s="31" t="s">
        <v>44</v>
      </c>
      <c r="F22" s="31" t="s">
        <v>87</v>
      </c>
      <c r="G22" s="31" t="s">
        <v>25</v>
      </c>
      <c r="H22" s="31" t="s">
        <v>25</v>
      </c>
      <c r="I22" s="31" t="s">
        <v>42</v>
      </c>
      <c r="J22" s="31" t="s">
        <v>646</v>
      </c>
      <c r="K22" s="31" t="s">
        <v>645</v>
      </c>
      <c r="L22" s="31" t="s">
        <v>70</v>
      </c>
      <c r="M22" s="31">
        <v>2021</v>
      </c>
      <c r="N22" s="31">
        <v>0</v>
      </c>
      <c r="O22" s="31">
        <v>156.03</v>
      </c>
      <c r="P22" s="31"/>
    </row>
    <row r="23" spans="1:16" ht="11.25" customHeight="1" x14ac:dyDescent="0.3">
      <c r="A23" s="31">
        <v>22</v>
      </c>
      <c r="B23" s="31" t="s">
        <v>499</v>
      </c>
      <c r="C23" s="31" t="s">
        <v>80</v>
      </c>
      <c r="D23" s="31" t="s">
        <v>79</v>
      </c>
      <c r="E23" s="31" t="s">
        <v>25</v>
      </c>
      <c r="F23" s="31" t="s">
        <v>25</v>
      </c>
      <c r="G23" s="31" t="s">
        <v>81</v>
      </c>
      <c r="H23" s="31" t="s">
        <v>25</v>
      </c>
      <c r="I23" s="31" t="s">
        <v>25</v>
      </c>
      <c r="J23" s="31" t="s">
        <v>644</v>
      </c>
      <c r="K23" s="31" t="s">
        <v>645</v>
      </c>
      <c r="L23" s="31" t="s">
        <v>75</v>
      </c>
      <c r="M23" s="31">
        <v>2021</v>
      </c>
      <c r="N23" s="31">
        <v>0</v>
      </c>
      <c r="O23" s="31">
        <v>6.94</v>
      </c>
      <c r="P23" s="31">
        <v>0</v>
      </c>
    </row>
    <row r="24" spans="1:16" ht="11.25" customHeight="1" x14ac:dyDescent="0.3">
      <c r="A24" s="31">
        <v>23</v>
      </c>
      <c r="B24" s="31" t="s">
        <v>527</v>
      </c>
      <c r="C24" s="31" t="s">
        <v>43</v>
      </c>
      <c r="D24" s="31" t="s">
        <v>69</v>
      </c>
      <c r="E24" s="31" t="s">
        <v>44</v>
      </c>
      <c r="F24" s="31" t="s">
        <v>87</v>
      </c>
      <c r="G24" s="31" t="s">
        <v>25</v>
      </c>
      <c r="H24" s="31" t="s">
        <v>25</v>
      </c>
      <c r="I24" s="31" t="s">
        <v>34</v>
      </c>
      <c r="J24" s="31" t="s">
        <v>646</v>
      </c>
      <c r="K24" s="31" t="s">
        <v>645</v>
      </c>
      <c r="L24" s="31" t="s">
        <v>70</v>
      </c>
      <c r="M24" s="31">
        <v>2021</v>
      </c>
      <c r="N24" s="31">
        <v>0</v>
      </c>
      <c r="O24" s="31">
        <v>156.03</v>
      </c>
      <c r="P24" s="31"/>
    </row>
    <row r="25" spans="1:16" ht="11.25" customHeight="1" x14ac:dyDescent="0.3">
      <c r="A25" s="31">
        <v>24</v>
      </c>
      <c r="B25" s="31" t="s">
        <v>499</v>
      </c>
      <c r="C25" s="31" t="s">
        <v>80</v>
      </c>
      <c r="D25" s="31" t="s">
        <v>79</v>
      </c>
      <c r="E25" s="31" t="s">
        <v>25</v>
      </c>
      <c r="F25" s="31" t="s">
        <v>25</v>
      </c>
      <c r="G25" s="31" t="s">
        <v>82</v>
      </c>
      <c r="H25" s="31" t="s">
        <v>25</v>
      </c>
      <c r="I25" s="31" t="s">
        <v>25</v>
      </c>
      <c r="J25" s="31" t="s">
        <v>644</v>
      </c>
      <c r="K25" s="31" t="s">
        <v>645</v>
      </c>
      <c r="L25" s="31" t="s">
        <v>75</v>
      </c>
      <c r="M25" s="31">
        <v>2021</v>
      </c>
      <c r="N25" s="31">
        <v>0</v>
      </c>
      <c r="O25" s="31">
        <v>14.11</v>
      </c>
      <c r="P25" s="31">
        <v>0</v>
      </c>
    </row>
    <row r="26" spans="1:16" ht="11.25" customHeight="1" x14ac:dyDescent="0.3">
      <c r="A26" s="31">
        <v>25</v>
      </c>
      <c r="B26" s="31" t="s">
        <v>527</v>
      </c>
      <c r="C26" s="31" t="s">
        <v>43</v>
      </c>
      <c r="D26" s="31" t="s">
        <v>73</v>
      </c>
      <c r="E26" s="31" t="s">
        <v>44</v>
      </c>
      <c r="F26" s="31" t="s">
        <v>87</v>
      </c>
      <c r="G26" s="31" t="s">
        <v>25</v>
      </c>
      <c r="H26" s="31" t="s">
        <v>25</v>
      </c>
      <c r="I26" s="31" t="s">
        <v>25</v>
      </c>
      <c r="J26" s="31" t="s">
        <v>646</v>
      </c>
      <c r="K26" s="31" t="s">
        <v>645</v>
      </c>
      <c r="L26" s="31" t="s">
        <v>70</v>
      </c>
      <c r="M26" s="31">
        <v>2021</v>
      </c>
      <c r="N26" s="31">
        <v>0</v>
      </c>
      <c r="O26" s="31">
        <v>156.03</v>
      </c>
      <c r="P26" s="31"/>
    </row>
    <row r="27" spans="1:16" ht="11.25" customHeight="1" x14ac:dyDescent="0.3">
      <c r="A27" s="31">
        <v>26</v>
      </c>
      <c r="B27" s="31" t="s">
        <v>499</v>
      </c>
      <c r="C27" s="31" t="s">
        <v>22</v>
      </c>
      <c r="D27" s="31" t="s">
        <v>33</v>
      </c>
      <c r="E27" s="31" t="s">
        <v>24</v>
      </c>
      <c r="F27" s="31" t="s">
        <v>24</v>
      </c>
      <c r="G27" s="31" t="s">
        <v>25</v>
      </c>
      <c r="H27" s="31" t="s">
        <v>25</v>
      </c>
      <c r="I27" s="31" t="s">
        <v>39</v>
      </c>
      <c r="J27" s="31" t="s">
        <v>646</v>
      </c>
      <c r="K27" s="31" t="s">
        <v>645</v>
      </c>
      <c r="L27" s="31" t="s">
        <v>70</v>
      </c>
      <c r="M27" s="31">
        <v>2021</v>
      </c>
      <c r="N27" s="31">
        <v>0</v>
      </c>
      <c r="O27" s="31">
        <v>1020.18</v>
      </c>
      <c r="P27" s="31">
        <v>58.489199539840399</v>
      </c>
    </row>
    <row r="28" spans="1:16" ht="11.25" customHeight="1" x14ac:dyDescent="0.3">
      <c r="A28" s="31">
        <v>27</v>
      </c>
      <c r="B28" s="31" t="s">
        <v>527</v>
      </c>
      <c r="C28" s="31" t="s">
        <v>43</v>
      </c>
      <c r="D28" s="31" t="s">
        <v>84</v>
      </c>
      <c r="E28" s="31" t="s">
        <v>44</v>
      </c>
      <c r="F28" s="31" t="s">
        <v>25</v>
      </c>
      <c r="G28" s="31" t="s">
        <v>25</v>
      </c>
      <c r="H28" s="31" t="s">
        <v>25</v>
      </c>
      <c r="I28" s="31" t="s">
        <v>25</v>
      </c>
      <c r="J28" s="31" t="s">
        <v>646</v>
      </c>
      <c r="K28" s="31" t="s">
        <v>645</v>
      </c>
      <c r="L28" s="31" t="s">
        <v>70</v>
      </c>
      <c r="M28" s="31">
        <v>2021</v>
      </c>
      <c r="N28" s="31">
        <v>0</v>
      </c>
      <c r="O28" s="31">
        <v>163.44999999999999</v>
      </c>
      <c r="P28" s="31"/>
    </row>
    <row r="29" spans="1:16" ht="11.25" customHeight="1" x14ac:dyDescent="0.3">
      <c r="A29" s="31">
        <v>28</v>
      </c>
      <c r="B29" s="31" t="s">
        <v>499</v>
      </c>
      <c r="C29" s="31" t="s">
        <v>22</v>
      </c>
      <c r="D29" s="31" t="s">
        <v>33</v>
      </c>
      <c r="E29" s="31" t="s">
        <v>24</v>
      </c>
      <c r="F29" s="31" t="s">
        <v>24</v>
      </c>
      <c r="G29" s="31" t="s">
        <v>25</v>
      </c>
      <c r="H29" s="31" t="s">
        <v>25</v>
      </c>
      <c r="I29" s="31" t="s">
        <v>42</v>
      </c>
      <c r="J29" s="31" t="s">
        <v>646</v>
      </c>
      <c r="K29" s="31" t="s">
        <v>645</v>
      </c>
      <c r="L29" s="31" t="s">
        <v>70</v>
      </c>
      <c r="M29" s="31">
        <v>2021</v>
      </c>
      <c r="N29" s="31">
        <v>0</v>
      </c>
      <c r="O29" s="31">
        <v>653.51</v>
      </c>
      <c r="P29" s="31">
        <v>58.489199539840399</v>
      </c>
    </row>
    <row r="30" spans="1:16" ht="11.25" customHeight="1" x14ac:dyDescent="0.3">
      <c r="A30" s="31">
        <v>29</v>
      </c>
      <c r="B30" s="31" t="s">
        <v>527</v>
      </c>
      <c r="C30" s="31" t="s">
        <v>43</v>
      </c>
      <c r="D30" s="31" t="s">
        <v>84</v>
      </c>
      <c r="E30" s="31" t="s">
        <v>44</v>
      </c>
      <c r="F30" s="31" t="s">
        <v>86</v>
      </c>
      <c r="G30" s="31" t="s">
        <v>25</v>
      </c>
      <c r="H30" s="31" t="s">
        <v>25</v>
      </c>
      <c r="I30" s="31" t="s">
        <v>25</v>
      </c>
      <c r="J30" s="31" t="s">
        <v>646</v>
      </c>
      <c r="K30" s="31" t="s">
        <v>645</v>
      </c>
      <c r="L30" s="31" t="s">
        <v>70</v>
      </c>
      <c r="M30" s="31">
        <v>2021</v>
      </c>
      <c r="N30" s="31">
        <v>0</v>
      </c>
      <c r="O30" s="31">
        <v>163.44999999999999</v>
      </c>
      <c r="P30" s="31"/>
    </row>
    <row r="31" spans="1:16" ht="11.25" customHeight="1" x14ac:dyDescent="0.3">
      <c r="A31" s="31">
        <v>30</v>
      </c>
      <c r="B31" s="31" t="s">
        <v>499</v>
      </c>
      <c r="C31" s="31" t="s">
        <v>22</v>
      </c>
      <c r="D31" s="31" t="s">
        <v>33</v>
      </c>
      <c r="E31" s="31" t="s">
        <v>24</v>
      </c>
      <c r="F31" s="31" t="s">
        <v>24</v>
      </c>
      <c r="G31" s="31" t="s">
        <v>25</v>
      </c>
      <c r="H31" s="31" t="s">
        <v>25</v>
      </c>
      <c r="I31" s="31" t="s">
        <v>34</v>
      </c>
      <c r="J31" s="31" t="s">
        <v>646</v>
      </c>
      <c r="K31" s="31" t="s">
        <v>645</v>
      </c>
      <c r="L31" s="31" t="s">
        <v>70</v>
      </c>
      <c r="M31" s="31">
        <v>2021</v>
      </c>
      <c r="N31" s="31">
        <v>0</v>
      </c>
      <c r="O31" s="31">
        <v>286.89999999999998</v>
      </c>
      <c r="P31" s="31">
        <v>58.489199539840399</v>
      </c>
    </row>
    <row r="32" spans="1:16" ht="11.25" customHeight="1" x14ac:dyDescent="0.3">
      <c r="A32" s="31">
        <v>31</v>
      </c>
      <c r="B32" s="31" t="s">
        <v>527</v>
      </c>
      <c r="C32" s="31" t="s">
        <v>43</v>
      </c>
      <c r="D32" s="31" t="s">
        <v>84</v>
      </c>
      <c r="E32" s="31" t="s">
        <v>44</v>
      </c>
      <c r="F32" s="31" t="s">
        <v>87</v>
      </c>
      <c r="G32" s="31" t="s">
        <v>25</v>
      </c>
      <c r="H32" s="31" t="s">
        <v>25</v>
      </c>
      <c r="I32" s="31" t="s">
        <v>25</v>
      </c>
      <c r="J32" s="31" t="s">
        <v>646</v>
      </c>
      <c r="K32" s="31" t="s">
        <v>645</v>
      </c>
      <c r="L32" s="31" t="s">
        <v>70</v>
      </c>
      <c r="M32" s="31">
        <v>2021</v>
      </c>
      <c r="N32" s="31">
        <v>0</v>
      </c>
      <c r="O32" s="31">
        <v>156.03</v>
      </c>
      <c r="P32" s="31"/>
    </row>
    <row r="33" spans="1:16" ht="11.25" customHeight="1" x14ac:dyDescent="0.3">
      <c r="A33" s="31">
        <v>32</v>
      </c>
      <c r="B33" s="31" t="s">
        <v>499</v>
      </c>
      <c r="C33" s="31" t="s">
        <v>22</v>
      </c>
      <c r="D33" s="31" t="s">
        <v>23</v>
      </c>
      <c r="E33" s="31" t="s">
        <v>24</v>
      </c>
      <c r="F33" s="31" t="s">
        <v>24</v>
      </c>
      <c r="G33" s="31" t="s">
        <v>25</v>
      </c>
      <c r="H33" s="31" t="s">
        <v>25</v>
      </c>
      <c r="I33" s="31" t="s">
        <v>25</v>
      </c>
      <c r="J33" s="31" t="s">
        <v>646</v>
      </c>
      <c r="K33" s="31" t="s">
        <v>645</v>
      </c>
      <c r="L33" s="31" t="s">
        <v>70</v>
      </c>
      <c r="M33" s="31">
        <v>2021</v>
      </c>
      <c r="N33" s="31">
        <v>0</v>
      </c>
      <c r="O33" s="31">
        <v>442.96</v>
      </c>
      <c r="P33" s="31">
        <v>58.489199539840399</v>
      </c>
    </row>
    <row r="34" spans="1:16" ht="11.25" customHeight="1" x14ac:dyDescent="0.3">
      <c r="A34" s="31">
        <v>33</v>
      </c>
      <c r="B34" s="31" t="s">
        <v>527</v>
      </c>
      <c r="C34" s="31" t="s">
        <v>35</v>
      </c>
      <c r="D34" s="31" t="s">
        <v>69</v>
      </c>
      <c r="E34" s="31" t="s">
        <v>25</v>
      </c>
      <c r="F34" s="31" t="s">
        <v>25</v>
      </c>
      <c r="G34" s="31" t="s">
        <v>25</v>
      </c>
      <c r="H34" s="31" t="s">
        <v>25</v>
      </c>
      <c r="I34" s="31" t="s">
        <v>39</v>
      </c>
      <c r="J34" s="31" t="s">
        <v>646</v>
      </c>
      <c r="K34" s="31" t="s">
        <v>645</v>
      </c>
      <c r="L34" s="31" t="s">
        <v>70</v>
      </c>
      <c r="M34" s="31">
        <v>2021</v>
      </c>
      <c r="N34" s="31">
        <v>0</v>
      </c>
      <c r="O34" s="31">
        <v>185.74</v>
      </c>
      <c r="P34" s="31"/>
    </row>
    <row r="35" spans="1:16" ht="11.25" customHeight="1" x14ac:dyDescent="0.3">
      <c r="A35" s="31">
        <v>34</v>
      </c>
      <c r="B35" s="31" t="s">
        <v>499</v>
      </c>
      <c r="C35" s="31" t="s">
        <v>22</v>
      </c>
      <c r="D35" s="31" t="s">
        <v>23</v>
      </c>
      <c r="E35" s="31" t="s">
        <v>24</v>
      </c>
      <c r="F35" s="31" t="s">
        <v>29</v>
      </c>
      <c r="G35" s="31" t="s">
        <v>25</v>
      </c>
      <c r="H35" s="31" t="s">
        <v>25</v>
      </c>
      <c r="I35" s="31" t="s">
        <v>25</v>
      </c>
      <c r="J35" s="31" t="s">
        <v>646</v>
      </c>
      <c r="K35" s="31" t="s">
        <v>645</v>
      </c>
      <c r="L35" s="31" t="s">
        <v>70</v>
      </c>
      <c r="M35" s="31">
        <v>2021</v>
      </c>
      <c r="N35" s="31">
        <v>0</v>
      </c>
      <c r="O35" s="31">
        <v>131.37</v>
      </c>
      <c r="P35" s="31">
        <v>0</v>
      </c>
    </row>
    <row r="36" spans="1:16" ht="11.25" customHeight="1" x14ac:dyDescent="0.3">
      <c r="A36" s="31">
        <v>35</v>
      </c>
      <c r="B36" s="31" t="s">
        <v>527</v>
      </c>
      <c r="C36" s="31" t="s">
        <v>35</v>
      </c>
      <c r="D36" s="31" t="s">
        <v>69</v>
      </c>
      <c r="E36" s="31" t="s">
        <v>25</v>
      </c>
      <c r="F36" s="31" t="s">
        <v>25</v>
      </c>
      <c r="G36" s="31" t="s">
        <v>25</v>
      </c>
      <c r="H36" s="31" t="s">
        <v>25</v>
      </c>
      <c r="I36" s="31" t="s">
        <v>42</v>
      </c>
      <c r="J36" s="31" t="s">
        <v>646</v>
      </c>
      <c r="K36" s="31" t="s">
        <v>645</v>
      </c>
      <c r="L36" s="31" t="s">
        <v>70</v>
      </c>
      <c r="M36" s="31">
        <v>2021</v>
      </c>
      <c r="N36" s="31">
        <v>0</v>
      </c>
      <c r="O36" s="31">
        <v>185.74</v>
      </c>
      <c r="P36" s="31"/>
    </row>
    <row r="37" spans="1:16" ht="11.25" customHeight="1" x14ac:dyDescent="0.3">
      <c r="A37" s="31">
        <v>36</v>
      </c>
      <c r="B37" s="31" t="s">
        <v>499</v>
      </c>
      <c r="C37" s="31" t="s">
        <v>22</v>
      </c>
      <c r="D37" s="31" t="s">
        <v>23</v>
      </c>
      <c r="E37" s="31" t="s">
        <v>24</v>
      </c>
      <c r="F37" s="31" t="s">
        <v>30</v>
      </c>
      <c r="G37" s="31" t="s">
        <v>25</v>
      </c>
      <c r="H37" s="31" t="s">
        <v>25</v>
      </c>
      <c r="I37" s="31" t="s">
        <v>25</v>
      </c>
      <c r="J37" s="31" t="s">
        <v>646</v>
      </c>
      <c r="K37" s="31" t="s">
        <v>645</v>
      </c>
      <c r="L37" s="31" t="s">
        <v>70</v>
      </c>
      <c r="M37" s="31">
        <v>2021</v>
      </c>
      <c r="N37" s="31">
        <v>0</v>
      </c>
      <c r="O37" s="31">
        <v>225.21</v>
      </c>
      <c r="P37" s="31">
        <v>0</v>
      </c>
    </row>
    <row r="38" spans="1:16" ht="11.25" customHeight="1" x14ac:dyDescent="0.3">
      <c r="A38" s="31">
        <v>37</v>
      </c>
      <c r="B38" s="31" t="s">
        <v>527</v>
      </c>
      <c r="C38" s="31" t="s">
        <v>35</v>
      </c>
      <c r="D38" s="31" t="s">
        <v>69</v>
      </c>
      <c r="E38" s="31" t="s">
        <v>25</v>
      </c>
      <c r="F38" s="31" t="s">
        <v>25</v>
      </c>
      <c r="G38" s="31" t="s">
        <v>25</v>
      </c>
      <c r="H38" s="31" t="s">
        <v>25</v>
      </c>
      <c r="I38" s="31" t="s">
        <v>34</v>
      </c>
      <c r="J38" s="31" t="s">
        <v>646</v>
      </c>
      <c r="K38" s="31" t="s">
        <v>645</v>
      </c>
      <c r="L38" s="31" t="s">
        <v>70</v>
      </c>
      <c r="M38" s="31">
        <v>2021</v>
      </c>
      <c r="N38" s="31">
        <v>0</v>
      </c>
      <c r="O38" s="31">
        <v>185.74</v>
      </c>
      <c r="P38" s="31"/>
    </row>
    <row r="39" spans="1:16" ht="11.25" customHeight="1" x14ac:dyDescent="0.3">
      <c r="A39" s="31">
        <v>38</v>
      </c>
      <c r="B39" s="31" t="s">
        <v>499</v>
      </c>
      <c r="C39" s="31" t="s">
        <v>22</v>
      </c>
      <c r="D39" s="31" t="s">
        <v>23</v>
      </c>
      <c r="E39" s="31" t="s">
        <v>24</v>
      </c>
      <c r="F39" s="31" t="s">
        <v>31</v>
      </c>
      <c r="G39" s="31" t="s">
        <v>25</v>
      </c>
      <c r="H39" s="31" t="s">
        <v>25</v>
      </c>
      <c r="I39" s="31" t="s">
        <v>25</v>
      </c>
      <c r="J39" s="31" t="s">
        <v>646</v>
      </c>
      <c r="K39" s="31" t="s">
        <v>645</v>
      </c>
      <c r="L39" s="31" t="s">
        <v>70</v>
      </c>
      <c r="M39" s="31">
        <v>2021</v>
      </c>
      <c r="N39" s="31">
        <v>0</v>
      </c>
      <c r="O39" s="31">
        <v>337.82</v>
      </c>
      <c r="P39" s="31">
        <v>0</v>
      </c>
    </row>
    <row r="40" spans="1:16" ht="11.25" customHeight="1" x14ac:dyDescent="0.3">
      <c r="A40" s="31">
        <v>39</v>
      </c>
      <c r="B40" s="31" t="s">
        <v>527</v>
      </c>
      <c r="C40" s="31" t="s">
        <v>35</v>
      </c>
      <c r="D40" s="31" t="s">
        <v>73</v>
      </c>
      <c r="E40" s="31" t="s">
        <v>25</v>
      </c>
      <c r="F40" s="31" t="s">
        <v>25</v>
      </c>
      <c r="G40" s="31" t="s">
        <v>25</v>
      </c>
      <c r="H40" s="31" t="s">
        <v>25</v>
      </c>
      <c r="I40" s="31" t="s">
        <v>25</v>
      </c>
      <c r="J40" s="31" t="s">
        <v>646</v>
      </c>
      <c r="K40" s="31" t="s">
        <v>645</v>
      </c>
      <c r="L40" s="31" t="s">
        <v>70</v>
      </c>
      <c r="M40" s="31">
        <v>2021</v>
      </c>
      <c r="N40" s="31">
        <v>0</v>
      </c>
      <c r="O40" s="31">
        <v>185.74</v>
      </c>
      <c r="P40" s="31"/>
    </row>
    <row r="41" spans="1:16" ht="11.25" customHeight="1" x14ac:dyDescent="0.3">
      <c r="A41" s="31">
        <v>40</v>
      </c>
      <c r="B41" s="31" t="s">
        <v>499</v>
      </c>
      <c r="C41" s="31" t="s">
        <v>22</v>
      </c>
      <c r="D41" s="31" t="s">
        <v>23</v>
      </c>
      <c r="E41" s="31" t="s">
        <v>24</v>
      </c>
      <c r="F41" s="31" t="s">
        <v>32</v>
      </c>
      <c r="G41" s="31" t="s">
        <v>25</v>
      </c>
      <c r="H41" s="31" t="s">
        <v>25</v>
      </c>
      <c r="I41" s="31" t="s">
        <v>25</v>
      </c>
      <c r="J41" s="31" t="s">
        <v>646</v>
      </c>
      <c r="K41" s="31" t="s">
        <v>645</v>
      </c>
      <c r="L41" s="31" t="s">
        <v>70</v>
      </c>
      <c r="M41" s="31">
        <v>2021</v>
      </c>
      <c r="N41" s="31">
        <v>0</v>
      </c>
      <c r="O41" s="31">
        <v>375.35</v>
      </c>
      <c r="P41" s="31">
        <v>0</v>
      </c>
    </row>
    <row r="42" spans="1:16" ht="11.25" customHeight="1" x14ac:dyDescent="0.3">
      <c r="A42" s="31">
        <v>41</v>
      </c>
      <c r="B42" s="31" t="s">
        <v>527</v>
      </c>
      <c r="C42" s="31" t="s">
        <v>35</v>
      </c>
      <c r="D42" s="31" t="s">
        <v>84</v>
      </c>
      <c r="E42" s="31" t="s">
        <v>25</v>
      </c>
      <c r="F42" s="31" t="s">
        <v>25</v>
      </c>
      <c r="G42" s="31" t="s">
        <v>25</v>
      </c>
      <c r="H42" s="31" t="s">
        <v>25</v>
      </c>
      <c r="I42" s="31" t="s">
        <v>25</v>
      </c>
      <c r="J42" s="31" t="s">
        <v>646</v>
      </c>
      <c r="K42" s="31" t="s">
        <v>645</v>
      </c>
      <c r="L42" s="31" t="s">
        <v>70</v>
      </c>
      <c r="M42" s="31">
        <v>2021</v>
      </c>
      <c r="N42" s="31">
        <v>0</v>
      </c>
      <c r="O42" s="31">
        <v>185.74</v>
      </c>
      <c r="P42" s="31"/>
    </row>
    <row r="43" spans="1:16" ht="11.25" customHeight="1" x14ac:dyDescent="0.3">
      <c r="A43" s="31">
        <v>42</v>
      </c>
      <c r="B43" s="31" t="s">
        <v>499</v>
      </c>
      <c r="C43" s="31" t="s">
        <v>22</v>
      </c>
      <c r="D43" s="31" t="s">
        <v>85</v>
      </c>
      <c r="E43" s="31" t="s">
        <v>24</v>
      </c>
      <c r="F43" s="31" t="s">
        <v>24</v>
      </c>
      <c r="G43" s="31" t="s">
        <v>25</v>
      </c>
      <c r="H43" s="31" t="s">
        <v>25</v>
      </c>
      <c r="I43" s="31" t="s">
        <v>25</v>
      </c>
      <c r="J43" s="31" t="s">
        <v>646</v>
      </c>
      <c r="K43" s="31" t="s">
        <v>645</v>
      </c>
      <c r="L43" s="31" t="s">
        <v>70</v>
      </c>
      <c r="M43" s="31">
        <v>2021</v>
      </c>
      <c r="N43" s="31">
        <v>0</v>
      </c>
      <c r="O43" s="31">
        <v>442.96</v>
      </c>
      <c r="P43" s="31">
        <v>58.489199539840399</v>
      </c>
    </row>
    <row r="44" spans="1:16" ht="11.25" customHeight="1" x14ac:dyDescent="0.3">
      <c r="A44" s="31">
        <v>43</v>
      </c>
      <c r="B44" s="31" t="s">
        <v>527</v>
      </c>
      <c r="C44" s="31" t="s">
        <v>46</v>
      </c>
      <c r="D44" s="31" t="s">
        <v>73</v>
      </c>
      <c r="E44" s="31" t="s">
        <v>47</v>
      </c>
      <c r="F44" s="31" t="s">
        <v>48</v>
      </c>
      <c r="G44" s="31" t="s">
        <v>25</v>
      </c>
      <c r="H44" s="31" t="s">
        <v>25</v>
      </c>
      <c r="I44" s="31" t="s">
        <v>25</v>
      </c>
      <c r="J44" s="31" t="s">
        <v>646</v>
      </c>
      <c r="K44" s="31" t="s">
        <v>645</v>
      </c>
      <c r="L44" s="31" t="s">
        <v>70</v>
      </c>
      <c r="M44" s="31">
        <v>2021</v>
      </c>
      <c r="N44" s="31">
        <v>0</v>
      </c>
      <c r="O44" s="31">
        <v>102.16</v>
      </c>
      <c r="P44" s="31"/>
    </row>
    <row r="45" spans="1:16" ht="11.25" customHeight="1" x14ac:dyDescent="0.3">
      <c r="A45" s="31">
        <v>44</v>
      </c>
      <c r="B45" s="31" t="s">
        <v>499</v>
      </c>
      <c r="C45" s="31" t="s">
        <v>22</v>
      </c>
      <c r="D45" s="31" t="s">
        <v>85</v>
      </c>
      <c r="E45" s="31" t="s">
        <v>24</v>
      </c>
      <c r="F45" s="31" t="s">
        <v>29</v>
      </c>
      <c r="G45" s="31" t="s">
        <v>25</v>
      </c>
      <c r="H45" s="31" t="s">
        <v>25</v>
      </c>
      <c r="I45" s="31" t="s">
        <v>25</v>
      </c>
      <c r="J45" s="31" t="s">
        <v>646</v>
      </c>
      <c r="K45" s="31" t="s">
        <v>645</v>
      </c>
      <c r="L45" s="31" t="s">
        <v>70</v>
      </c>
      <c r="M45" s="31">
        <v>2021</v>
      </c>
      <c r="N45" s="31">
        <v>0</v>
      </c>
      <c r="O45" s="31">
        <v>131.37</v>
      </c>
      <c r="P45" s="31">
        <v>0</v>
      </c>
    </row>
    <row r="46" spans="1:16" ht="11.25" customHeight="1" x14ac:dyDescent="0.3">
      <c r="A46" s="31">
        <v>45</v>
      </c>
      <c r="B46" s="31" t="s">
        <v>527</v>
      </c>
      <c r="C46" s="31" t="s">
        <v>46</v>
      </c>
      <c r="D46" s="31" t="s">
        <v>73</v>
      </c>
      <c r="E46" s="31" t="s">
        <v>47</v>
      </c>
      <c r="F46" s="31" t="s">
        <v>49</v>
      </c>
      <c r="G46" s="31" t="s">
        <v>25</v>
      </c>
      <c r="H46" s="31" t="s">
        <v>25</v>
      </c>
      <c r="I46" s="31" t="s">
        <v>25</v>
      </c>
      <c r="J46" s="31" t="s">
        <v>646</v>
      </c>
      <c r="K46" s="31" t="s">
        <v>645</v>
      </c>
      <c r="L46" s="31" t="s">
        <v>70</v>
      </c>
      <c r="M46" s="31">
        <v>2021</v>
      </c>
      <c r="N46" s="31">
        <v>0</v>
      </c>
      <c r="O46" s="31">
        <v>111.45</v>
      </c>
      <c r="P46" s="31"/>
    </row>
    <row r="47" spans="1:16" ht="11.25" customHeight="1" x14ac:dyDescent="0.3">
      <c r="A47" s="31">
        <v>46</v>
      </c>
      <c r="B47" s="31" t="s">
        <v>499</v>
      </c>
      <c r="C47" s="31" t="s">
        <v>22</v>
      </c>
      <c r="D47" s="31" t="s">
        <v>85</v>
      </c>
      <c r="E47" s="31" t="s">
        <v>24</v>
      </c>
      <c r="F47" s="31" t="s">
        <v>30</v>
      </c>
      <c r="G47" s="31" t="s">
        <v>25</v>
      </c>
      <c r="H47" s="31" t="s">
        <v>25</v>
      </c>
      <c r="I47" s="31" t="s">
        <v>25</v>
      </c>
      <c r="J47" s="31" t="s">
        <v>646</v>
      </c>
      <c r="K47" s="31" t="s">
        <v>645</v>
      </c>
      <c r="L47" s="31" t="s">
        <v>70</v>
      </c>
      <c r="M47" s="31">
        <v>2021</v>
      </c>
      <c r="N47" s="31">
        <v>0</v>
      </c>
      <c r="O47" s="31">
        <v>225.21</v>
      </c>
      <c r="P47" s="31">
        <v>0</v>
      </c>
    </row>
    <row r="48" spans="1:16" ht="11.25" customHeight="1" x14ac:dyDescent="0.3">
      <c r="A48" s="31">
        <v>47</v>
      </c>
      <c r="B48" s="31" t="s">
        <v>499</v>
      </c>
      <c r="C48" s="31" t="s">
        <v>22</v>
      </c>
      <c r="D48" s="31" t="s">
        <v>85</v>
      </c>
      <c r="E48" s="31" t="s">
        <v>24</v>
      </c>
      <c r="F48" s="31" t="s">
        <v>31</v>
      </c>
      <c r="G48" s="31" t="s">
        <v>25</v>
      </c>
      <c r="H48" s="31" t="s">
        <v>25</v>
      </c>
      <c r="I48" s="31" t="s">
        <v>25</v>
      </c>
      <c r="J48" s="31" t="s">
        <v>646</v>
      </c>
      <c r="K48" s="31" t="s">
        <v>645</v>
      </c>
      <c r="L48" s="31" t="s">
        <v>70</v>
      </c>
      <c r="M48" s="31">
        <v>2021</v>
      </c>
      <c r="N48" s="31">
        <v>0</v>
      </c>
      <c r="O48" s="31">
        <v>337.82</v>
      </c>
      <c r="P48" s="31">
        <v>0</v>
      </c>
    </row>
    <row r="49" spans="1:16" ht="11.25" customHeight="1" x14ac:dyDescent="0.3">
      <c r="A49" s="31">
        <v>48</v>
      </c>
      <c r="B49" s="31" t="s">
        <v>499</v>
      </c>
      <c r="C49" s="31" t="s">
        <v>22</v>
      </c>
      <c r="D49" s="31" t="s">
        <v>85</v>
      </c>
      <c r="E49" s="31" t="s">
        <v>24</v>
      </c>
      <c r="F49" s="31" t="s">
        <v>32</v>
      </c>
      <c r="G49" s="31" t="s">
        <v>25</v>
      </c>
      <c r="H49" s="31" t="s">
        <v>25</v>
      </c>
      <c r="I49" s="31" t="s">
        <v>25</v>
      </c>
      <c r="J49" s="31" t="s">
        <v>646</v>
      </c>
      <c r="K49" s="31" t="s">
        <v>645</v>
      </c>
      <c r="L49" s="31" t="s">
        <v>70</v>
      </c>
      <c r="M49" s="31">
        <v>2021</v>
      </c>
      <c r="N49" s="31">
        <v>0</v>
      </c>
      <c r="O49" s="31">
        <v>375.35</v>
      </c>
      <c r="P49" s="31">
        <v>0</v>
      </c>
    </row>
    <row r="50" spans="1:16" ht="11.25" customHeight="1" x14ac:dyDescent="0.3">
      <c r="A50" s="31">
        <v>49</v>
      </c>
      <c r="B50" s="31" t="s">
        <v>499</v>
      </c>
      <c r="C50" s="31" t="s">
        <v>43</v>
      </c>
      <c r="D50" s="31" t="s">
        <v>33</v>
      </c>
      <c r="E50" s="31" t="s">
        <v>44</v>
      </c>
      <c r="F50" s="31" t="s">
        <v>25</v>
      </c>
      <c r="G50" s="31" t="s">
        <v>25</v>
      </c>
      <c r="H50" s="31" t="s">
        <v>25</v>
      </c>
      <c r="I50" s="31" t="s">
        <v>39</v>
      </c>
      <c r="J50" s="31" t="s">
        <v>646</v>
      </c>
      <c r="K50" s="31" t="s">
        <v>645</v>
      </c>
      <c r="L50" s="31" t="s">
        <v>70</v>
      </c>
      <c r="M50" s="31">
        <v>2021</v>
      </c>
      <c r="N50" s="31">
        <v>0</v>
      </c>
      <c r="O50" s="31">
        <v>972.32</v>
      </c>
      <c r="P50" s="31">
        <v>51.470495595059496</v>
      </c>
    </row>
    <row r="51" spans="1:16" ht="11.25" customHeight="1" x14ac:dyDescent="0.3">
      <c r="A51" s="31">
        <v>50</v>
      </c>
      <c r="B51" s="31" t="s">
        <v>499</v>
      </c>
      <c r="C51" s="31" t="s">
        <v>43</v>
      </c>
      <c r="D51" s="31" t="s">
        <v>33</v>
      </c>
      <c r="E51" s="31" t="s">
        <v>44</v>
      </c>
      <c r="F51" s="31" t="s">
        <v>25</v>
      </c>
      <c r="G51" s="31" t="s">
        <v>25</v>
      </c>
      <c r="H51" s="31" t="s">
        <v>25</v>
      </c>
      <c r="I51" s="31" t="s">
        <v>42</v>
      </c>
      <c r="J51" s="31" t="s">
        <v>646</v>
      </c>
      <c r="K51" s="31" t="s">
        <v>645</v>
      </c>
      <c r="L51" s="31" t="s">
        <v>70</v>
      </c>
      <c r="M51" s="31">
        <v>2021</v>
      </c>
      <c r="N51" s="31">
        <v>0</v>
      </c>
      <c r="O51" s="31">
        <v>619.80999999999995</v>
      </c>
      <c r="P51" s="31">
        <v>51.470495595059496</v>
      </c>
    </row>
    <row r="52" spans="1:16" ht="11.25" customHeight="1" x14ac:dyDescent="0.3">
      <c r="A52" s="31">
        <v>51</v>
      </c>
      <c r="B52" s="31" t="s">
        <v>499</v>
      </c>
      <c r="C52" s="31" t="s">
        <v>43</v>
      </c>
      <c r="D52" s="31" t="s">
        <v>33</v>
      </c>
      <c r="E52" s="31" t="s">
        <v>44</v>
      </c>
      <c r="F52" s="31" t="s">
        <v>25</v>
      </c>
      <c r="G52" s="31" t="s">
        <v>25</v>
      </c>
      <c r="H52" s="31" t="s">
        <v>25</v>
      </c>
      <c r="I52" s="31" t="s">
        <v>34</v>
      </c>
      <c r="J52" s="31" t="s">
        <v>646</v>
      </c>
      <c r="K52" s="31" t="s">
        <v>645</v>
      </c>
      <c r="L52" s="31" t="s">
        <v>70</v>
      </c>
      <c r="M52" s="31">
        <v>2021</v>
      </c>
      <c r="N52" s="31">
        <v>0</v>
      </c>
      <c r="O52" s="31">
        <v>267.29000000000002</v>
      </c>
      <c r="P52" s="31">
        <v>51.470495595059496</v>
      </c>
    </row>
    <row r="53" spans="1:16" ht="11.25" customHeight="1" x14ac:dyDescent="0.3">
      <c r="A53" s="31">
        <v>52</v>
      </c>
      <c r="B53" s="31" t="s">
        <v>499</v>
      </c>
      <c r="C53" s="31" t="s">
        <v>43</v>
      </c>
      <c r="D53" s="31" t="s">
        <v>23</v>
      </c>
      <c r="E53" s="31" t="s">
        <v>44</v>
      </c>
      <c r="F53" s="31" t="s">
        <v>25</v>
      </c>
      <c r="G53" s="31" t="s">
        <v>25</v>
      </c>
      <c r="H53" s="31" t="s">
        <v>25</v>
      </c>
      <c r="I53" s="31" t="s">
        <v>25</v>
      </c>
      <c r="J53" s="31" t="s">
        <v>646</v>
      </c>
      <c r="K53" s="31" t="s">
        <v>645</v>
      </c>
      <c r="L53" s="31" t="s">
        <v>70</v>
      </c>
      <c r="M53" s="31">
        <v>2021</v>
      </c>
      <c r="N53" s="31">
        <v>0</v>
      </c>
      <c r="O53" s="31">
        <v>389.81</v>
      </c>
      <c r="P53" s="31">
        <v>51.470495595059496</v>
      </c>
    </row>
    <row r="54" spans="1:16" ht="11.25" customHeight="1" x14ac:dyDescent="0.3">
      <c r="A54" s="31">
        <v>53</v>
      </c>
      <c r="B54" s="31" t="s">
        <v>499</v>
      </c>
      <c r="C54" s="31" t="s">
        <v>43</v>
      </c>
      <c r="D54" s="31" t="s">
        <v>33</v>
      </c>
      <c r="E54" s="31" t="s">
        <v>44</v>
      </c>
      <c r="F54" s="31" t="s">
        <v>86</v>
      </c>
      <c r="G54" s="31" t="s">
        <v>25</v>
      </c>
      <c r="H54" s="31" t="s">
        <v>25</v>
      </c>
      <c r="I54" s="31" t="s">
        <v>39</v>
      </c>
      <c r="J54" s="31" t="s">
        <v>646</v>
      </c>
      <c r="K54" s="31" t="s">
        <v>645</v>
      </c>
      <c r="L54" s="31" t="s">
        <v>70</v>
      </c>
      <c r="M54" s="31">
        <v>2021</v>
      </c>
      <c r="N54" s="31">
        <v>0</v>
      </c>
      <c r="O54" s="31">
        <v>972.32</v>
      </c>
      <c r="P54" s="31">
        <v>51.470495595059496</v>
      </c>
    </row>
    <row r="55" spans="1:16" ht="11.25" customHeight="1" x14ac:dyDescent="0.3">
      <c r="A55" s="31">
        <v>54</v>
      </c>
      <c r="B55" s="31" t="s">
        <v>499</v>
      </c>
      <c r="C55" s="31" t="s">
        <v>43</v>
      </c>
      <c r="D55" s="31" t="s">
        <v>33</v>
      </c>
      <c r="E55" s="31" t="s">
        <v>44</v>
      </c>
      <c r="F55" s="31" t="s">
        <v>86</v>
      </c>
      <c r="G55" s="31" t="s">
        <v>25</v>
      </c>
      <c r="H55" s="31" t="s">
        <v>25</v>
      </c>
      <c r="I55" s="31" t="s">
        <v>42</v>
      </c>
      <c r="J55" s="31" t="s">
        <v>646</v>
      </c>
      <c r="K55" s="31" t="s">
        <v>645</v>
      </c>
      <c r="L55" s="31" t="s">
        <v>70</v>
      </c>
      <c r="M55" s="31">
        <v>2021</v>
      </c>
      <c r="N55" s="31">
        <v>0</v>
      </c>
      <c r="O55" s="31">
        <v>619.80999999999995</v>
      </c>
      <c r="P55" s="31">
        <v>51.470495595059496</v>
      </c>
    </row>
    <row r="56" spans="1:16" ht="11.25" customHeight="1" x14ac:dyDescent="0.3">
      <c r="A56" s="31">
        <v>55</v>
      </c>
      <c r="B56" s="31" t="s">
        <v>499</v>
      </c>
      <c r="C56" s="31" t="s">
        <v>43</v>
      </c>
      <c r="D56" s="31" t="s">
        <v>33</v>
      </c>
      <c r="E56" s="31" t="s">
        <v>44</v>
      </c>
      <c r="F56" s="31" t="s">
        <v>86</v>
      </c>
      <c r="G56" s="31" t="s">
        <v>25</v>
      </c>
      <c r="H56" s="31" t="s">
        <v>25</v>
      </c>
      <c r="I56" s="31" t="s">
        <v>34</v>
      </c>
      <c r="J56" s="31" t="s">
        <v>646</v>
      </c>
      <c r="K56" s="31" t="s">
        <v>645</v>
      </c>
      <c r="L56" s="31" t="s">
        <v>70</v>
      </c>
      <c r="M56" s="31">
        <v>2021</v>
      </c>
      <c r="N56" s="31">
        <v>0</v>
      </c>
      <c r="O56" s="31">
        <v>267.29000000000002</v>
      </c>
      <c r="P56" s="31">
        <v>51.470495595059496</v>
      </c>
    </row>
    <row r="57" spans="1:16" ht="11.25" customHeight="1" x14ac:dyDescent="0.3">
      <c r="A57" s="31">
        <v>56</v>
      </c>
      <c r="B57" s="31" t="s">
        <v>499</v>
      </c>
      <c r="C57" s="31" t="s">
        <v>43</v>
      </c>
      <c r="D57" s="31" t="s">
        <v>23</v>
      </c>
      <c r="E57" s="31" t="s">
        <v>44</v>
      </c>
      <c r="F57" s="31" t="s">
        <v>86</v>
      </c>
      <c r="G57" s="31" t="s">
        <v>25</v>
      </c>
      <c r="H57" s="31" t="s">
        <v>25</v>
      </c>
      <c r="I57" s="31" t="s">
        <v>25</v>
      </c>
      <c r="J57" s="31" t="s">
        <v>646</v>
      </c>
      <c r="K57" s="31" t="s">
        <v>645</v>
      </c>
      <c r="L57" s="31" t="s">
        <v>70</v>
      </c>
      <c r="M57" s="31">
        <v>2021</v>
      </c>
      <c r="N57" s="31">
        <v>0</v>
      </c>
      <c r="O57" s="31">
        <v>389.81</v>
      </c>
      <c r="P57" s="31">
        <v>51.470495595059496</v>
      </c>
    </row>
    <row r="58" spans="1:16" ht="11.25" customHeight="1" x14ac:dyDescent="0.3">
      <c r="A58" s="31">
        <v>57</v>
      </c>
      <c r="B58" s="31" t="s">
        <v>499</v>
      </c>
      <c r="C58" s="31" t="s">
        <v>43</v>
      </c>
      <c r="D58" s="31" t="s">
        <v>33</v>
      </c>
      <c r="E58" s="31" t="s">
        <v>44</v>
      </c>
      <c r="F58" s="31" t="s">
        <v>87</v>
      </c>
      <c r="G58" s="31" t="s">
        <v>25</v>
      </c>
      <c r="H58" s="31" t="s">
        <v>25</v>
      </c>
      <c r="I58" s="31" t="s">
        <v>39</v>
      </c>
      <c r="J58" s="31" t="s">
        <v>646</v>
      </c>
      <c r="K58" s="31" t="s">
        <v>645</v>
      </c>
      <c r="L58" s="31" t="s">
        <v>70</v>
      </c>
      <c r="M58" s="31">
        <v>2021</v>
      </c>
      <c r="N58" s="31">
        <v>0</v>
      </c>
      <c r="O58" s="31">
        <v>928.13</v>
      </c>
      <c r="P58" s="31">
        <v>49.1309276134659</v>
      </c>
    </row>
    <row r="59" spans="1:16" ht="11.25" customHeight="1" x14ac:dyDescent="0.3">
      <c r="A59" s="31">
        <v>58</v>
      </c>
      <c r="B59" s="31" t="s">
        <v>499</v>
      </c>
      <c r="C59" s="31" t="s">
        <v>43</v>
      </c>
      <c r="D59" s="31" t="s">
        <v>33</v>
      </c>
      <c r="E59" s="31" t="s">
        <v>44</v>
      </c>
      <c r="F59" s="31" t="s">
        <v>87</v>
      </c>
      <c r="G59" s="31" t="s">
        <v>25</v>
      </c>
      <c r="H59" s="31" t="s">
        <v>25</v>
      </c>
      <c r="I59" s="31" t="s">
        <v>42</v>
      </c>
      <c r="J59" s="31" t="s">
        <v>646</v>
      </c>
      <c r="K59" s="31" t="s">
        <v>645</v>
      </c>
      <c r="L59" s="31" t="s">
        <v>70</v>
      </c>
      <c r="M59" s="31">
        <v>2021</v>
      </c>
      <c r="N59" s="31">
        <v>0</v>
      </c>
      <c r="O59" s="31">
        <v>591.63</v>
      </c>
      <c r="P59" s="31">
        <v>49.1309276134659</v>
      </c>
    </row>
    <row r="60" spans="1:16" ht="11.25" customHeight="1" x14ac:dyDescent="0.3">
      <c r="A60" s="31">
        <v>59</v>
      </c>
      <c r="B60" s="31" t="s">
        <v>499</v>
      </c>
      <c r="C60" s="31" t="s">
        <v>43</v>
      </c>
      <c r="D60" s="31" t="s">
        <v>33</v>
      </c>
      <c r="E60" s="31" t="s">
        <v>44</v>
      </c>
      <c r="F60" s="31" t="s">
        <v>87</v>
      </c>
      <c r="G60" s="31" t="s">
        <v>25</v>
      </c>
      <c r="H60" s="31" t="s">
        <v>25</v>
      </c>
      <c r="I60" s="31" t="s">
        <v>34</v>
      </c>
      <c r="J60" s="31" t="s">
        <v>646</v>
      </c>
      <c r="K60" s="31" t="s">
        <v>645</v>
      </c>
      <c r="L60" s="31" t="s">
        <v>70</v>
      </c>
      <c r="M60" s="31">
        <v>2021</v>
      </c>
      <c r="N60" s="31">
        <v>0</v>
      </c>
      <c r="O60" s="31">
        <v>255.14</v>
      </c>
      <c r="P60" s="31">
        <v>49.1309276134659</v>
      </c>
    </row>
    <row r="61" spans="1:16" ht="11.25" customHeight="1" x14ac:dyDescent="0.3">
      <c r="A61" s="31">
        <v>60</v>
      </c>
      <c r="B61" s="31" t="s">
        <v>499</v>
      </c>
      <c r="C61" s="31" t="s">
        <v>43</v>
      </c>
      <c r="D61" s="31" t="s">
        <v>23</v>
      </c>
      <c r="E61" s="31" t="s">
        <v>44</v>
      </c>
      <c r="F61" s="31" t="s">
        <v>87</v>
      </c>
      <c r="G61" s="31" t="s">
        <v>25</v>
      </c>
      <c r="H61" s="31" t="s">
        <v>25</v>
      </c>
      <c r="I61" s="31" t="s">
        <v>25</v>
      </c>
      <c r="J61" s="31" t="s">
        <v>646</v>
      </c>
      <c r="K61" s="31" t="s">
        <v>645</v>
      </c>
      <c r="L61" s="31" t="s">
        <v>70</v>
      </c>
      <c r="M61" s="31">
        <v>2021</v>
      </c>
      <c r="N61" s="31">
        <v>0</v>
      </c>
      <c r="O61" s="31">
        <v>372.09</v>
      </c>
      <c r="P61" s="31">
        <v>49.1309276134659</v>
      </c>
    </row>
    <row r="62" spans="1:16" ht="11.25" customHeight="1" x14ac:dyDescent="0.3">
      <c r="A62" s="31">
        <v>61</v>
      </c>
      <c r="B62" s="31" t="s">
        <v>499</v>
      </c>
      <c r="C62" s="31" t="s">
        <v>43</v>
      </c>
      <c r="D62" s="31" t="s">
        <v>85</v>
      </c>
      <c r="E62" s="31" t="s">
        <v>44</v>
      </c>
      <c r="F62" s="31" t="s">
        <v>25</v>
      </c>
      <c r="G62" s="31" t="s">
        <v>25</v>
      </c>
      <c r="H62" s="31" t="s">
        <v>25</v>
      </c>
      <c r="I62" s="31" t="s">
        <v>25</v>
      </c>
      <c r="J62" s="31" t="s">
        <v>646</v>
      </c>
      <c r="K62" s="31" t="s">
        <v>645</v>
      </c>
      <c r="L62" s="31" t="s">
        <v>70</v>
      </c>
      <c r="M62" s="31">
        <v>2021</v>
      </c>
      <c r="N62" s="31">
        <v>0</v>
      </c>
      <c r="O62" s="31">
        <v>389.81</v>
      </c>
      <c r="P62" s="31">
        <v>51.470495595059496</v>
      </c>
    </row>
    <row r="63" spans="1:16" ht="11.25" customHeight="1" x14ac:dyDescent="0.3">
      <c r="A63" s="31">
        <v>62</v>
      </c>
      <c r="B63" s="31" t="s">
        <v>499</v>
      </c>
      <c r="C63" s="31" t="s">
        <v>43</v>
      </c>
      <c r="D63" s="31" t="s">
        <v>85</v>
      </c>
      <c r="E63" s="31" t="s">
        <v>44</v>
      </c>
      <c r="F63" s="31" t="s">
        <v>86</v>
      </c>
      <c r="G63" s="31" t="s">
        <v>25</v>
      </c>
      <c r="H63" s="31" t="s">
        <v>25</v>
      </c>
      <c r="I63" s="31" t="s">
        <v>25</v>
      </c>
      <c r="J63" s="31" t="s">
        <v>646</v>
      </c>
      <c r="K63" s="31" t="s">
        <v>645</v>
      </c>
      <c r="L63" s="31" t="s">
        <v>70</v>
      </c>
      <c r="M63" s="31">
        <v>2021</v>
      </c>
      <c r="N63" s="31">
        <v>0</v>
      </c>
      <c r="O63" s="31">
        <v>389.81</v>
      </c>
      <c r="P63" s="31">
        <v>51.470495595059496</v>
      </c>
    </row>
    <row r="64" spans="1:16" ht="11.25" customHeight="1" x14ac:dyDescent="0.3">
      <c r="A64" s="31">
        <v>63</v>
      </c>
      <c r="B64" s="31" t="s">
        <v>499</v>
      </c>
      <c r="C64" s="31" t="s">
        <v>43</v>
      </c>
      <c r="D64" s="31" t="s">
        <v>85</v>
      </c>
      <c r="E64" s="31" t="s">
        <v>44</v>
      </c>
      <c r="F64" s="31" t="s">
        <v>87</v>
      </c>
      <c r="G64" s="31" t="s">
        <v>25</v>
      </c>
      <c r="H64" s="31" t="s">
        <v>25</v>
      </c>
      <c r="I64" s="31" t="s">
        <v>25</v>
      </c>
      <c r="J64" s="31" t="s">
        <v>646</v>
      </c>
      <c r="K64" s="31" t="s">
        <v>645</v>
      </c>
      <c r="L64" s="31" t="s">
        <v>70</v>
      </c>
      <c r="M64" s="31">
        <v>2021</v>
      </c>
      <c r="N64" s="31">
        <v>0</v>
      </c>
      <c r="O64" s="31">
        <v>372.09</v>
      </c>
      <c r="P64" s="31">
        <v>49.1309276134659</v>
      </c>
    </row>
    <row r="65" spans="1:16" ht="11.25" customHeight="1" x14ac:dyDescent="0.3">
      <c r="A65" s="31">
        <v>64</v>
      </c>
      <c r="B65" s="31" t="s">
        <v>499</v>
      </c>
      <c r="C65" s="31" t="s">
        <v>35</v>
      </c>
      <c r="D65" s="31" t="s">
        <v>33</v>
      </c>
      <c r="E65" s="31" t="s">
        <v>25</v>
      </c>
      <c r="F65" s="31" t="s">
        <v>25</v>
      </c>
      <c r="G65" s="31" t="s">
        <v>25</v>
      </c>
      <c r="H65" s="31" t="s">
        <v>25</v>
      </c>
      <c r="I65" s="31" t="s">
        <v>39</v>
      </c>
      <c r="J65" s="31" t="s">
        <v>646</v>
      </c>
      <c r="K65" s="31" t="s">
        <v>645</v>
      </c>
      <c r="L65" s="31" t="s">
        <v>70</v>
      </c>
      <c r="M65" s="31">
        <v>2021</v>
      </c>
      <c r="N65" s="31">
        <v>0</v>
      </c>
      <c r="O65" s="31">
        <v>1274.73</v>
      </c>
      <c r="P65" s="31">
        <v>58.489199539840399</v>
      </c>
    </row>
    <row r="66" spans="1:16" ht="11.25" customHeight="1" x14ac:dyDescent="0.3">
      <c r="A66" s="31">
        <v>65</v>
      </c>
      <c r="B66" s="31" t="s">
        <v>499</v>
      </c>
      <c r="C66" s="31" t="s">
        <v>35</v>
      </c>
      <c r="D66" s="31" t="s">
        <v>33</v>
      </c>
      <c r="E66" s="31" t="s">
        <v>25</v>
      </c>
      <c r="F66" s="31" t="s">
        <v>25</v>
      </c>
      <c r="G66" s="31" t="s">
        <v>25</v>
      </c>
      <c r="H66" s="31" t="s">
        <v>25</v>
      </c>
      <c r="I66" s="31" t="s">
        <v>42</v>
      </c>
      <c r="J66" s="31" t="s">
        <v>646</v>
      </c>
      <c r="K66" s="31" t="s">
        <v>645</v>
      </c>
      <c r="L66" s="31" t="s">
        <v>70</v>
      </c>
      <c r="M66" s="31">
        <v>2021</v>
      </c>
      <c r="N66" s="31">
        <v>0</v>
      </c>
      <c r="O66" s="31">
        <v>806.19</v>
      </c>
      <c r="P66" s="31">
        <v>58.489199539840399</v>
      </c>
    </row>
    <row r="67" spans="1:16" ht="11.25" customHeight="1" x14ac:dyDescent="0.3">
      <c r="A67" s="31">
        <v>66</v>
      </c>
      <c r="B67" s="31" t="s">
        <v>499</v>
      </c>
      <c r="C67" s="31" t="s">
        <v>35</v>
      </c>
      <c r="D67" s="31" t="s">
        <v>33</v>
      </c>
      <c r="E67" s="31" t="s">
        <v>25</v>
      </c>
      <c r="F67" s="31" t="s">
        <v>25</v>
      </c>
      <c r="G67" s="31" t="s">
        <v>25</v>
      </c>
      <c r="H67" s="31" t="s">
        <v>25</v>
      </c>
      <c r="I67" s="31" t="s">
        <v>34</v>
      </c>
      <c r="J67" s="31" t="s">
        <v>646</v>
      </c>
      <c r="K67" s="31" t="s">
        <v>645</v>
      </c>
      <c r="L67" s="31" t="s">
        <v>70</v>
      </c>
      <c r="M67" s="31">
        <v>2021</v>
      </c>
      <c r="N67" s="31">
        <v>0</v>
      </c>
      <c r="O67" s="31">
        <v>337.72</v>
      </c>
      <c r="P67" s="31">
        <v>58.489199539840399</v>
      </c>
    </row>
    <row r="68" spans="1:16" ht="11.25" customHeight="1" x14ac:dyDescent="0.3">
      <c r="A68" s="31">
        <v>67</v>
      </c>
      <c r="B68" s="31" t="s">
        <v>499</v>
      </c>
      <c r="C68" s="31" t="s">
        <v>35</v>
      </c>
      <c r="D68" s="31" t="s">
        <v>23</v>
      </c>
      <c r="E68" s="31" t="s">
        <v>25</v>
      </c>
      <c r="F68" s="31" t="s">
        <v>25</v>
      </c>
      <c r="G68" s="31" t="s">
        <v>25</v>
      </c>
      <c r="H68" s="31" t="s">
        <v>25</v>
      </c>
      <c r="I68" s="31" t="s">
        <v>25</v>
      </c>
      <c r="J68" s="31" t="s">
        <v>646</v>
      </c>
      <c r="K68" s="31" t="s">
        <v>645</v>
      </c>
      <c r="L68" s="31" t="s">
        <v>70</v>
      </c>
      <c r="M68" s="31">
        <v>2021</v>
      </c>
      <c r="N68" s="31">
        <v>0</v>
      </c>
      <c r="O68" s="31">
        <v>442.96</v>
      </c>
      <c r="P68" s="31">
        <v>58.489199539840399</v>
      </c>
    </row>
    <row r="69" spans="1:16" ht="11.25" customHeight="1" x14ac:dyDescent="0.3">
      <c r="A69" s="31">
        <v>68</v>
      </c>
      <c r="B69" s="31" t="s">
        <v>499</v>
      </c>
      <c r="C69" s="31" t="s">
        <v>35</v>
      </c>
      <c r="D69" s="31" t="s">
        <v>85</v>
      </c>
      <c r="E69" s="31" t="s">
        <v>25</v>
      </c>
      <c r="F69" s="31" t="s">
        <v>25</v>
      </c>
      <c r="G69" s="31" t="s">
        <v>25</v>
      </c>
      <c r="H69" s="31" t="s">
        <v>25</v>
      </c>
      <c r="I69" s="31" t="s">
        <v>25</v>
      </c>
      <c r="J69" s="31" t="s">
        <v>646</v>
      </c>
      <c r="K69" s="31" t="s">
        <v>645</v>
      </c>
      <c r="L69" s="31" t="s">
        <v>70</v>
      </c>
      <c r="M69" s="31">
        <v>2021</v>
      </c>
      <c r="N69" s="31">
        <v>0</v>
      </c>
      <c r="O69" s="31">
        <v>442.96</v>
      </c>
      <c r="P69" s="31">
        <v>58.489199539840399</v>
      </c>
    </row>
    <row r="70" spans="1:16" ht="11.25" customHeight="1" x14ac:dyDescent="0.3">
      <c r="A70" s="31">
        <v>69</v>
      </c>
      <c r="B70" s="31" t="s">
        <v>499</v>
      </c>
      <c r="C70" s="31" t="s">
        <v>46</v>
      </c>
      <c r="D70" s="31" t="s">
        <v>23</v>
      </c>
      <c r="E70" s="31" t="s">
        <v>47</v>
      </c>
      <c r="F70" s="31" t="s">
        <v>48</v>
      </c>
      <c r="G70" s="31" t="s">
        <v>25</v>
      </c>
      <c r="H70" s="31" t="s">
        <v>25</v>
      </c>
      <c r="I70" s="31" t="s">
        <v>25</v>
      </c>
      <c r="J70" s="31" t="s">
        <v>646</v>
      </c>
      <c r="K70" s="31" t="s">
        <v>645</v>
      </c>
      <c r="L70" s="31" t="s">
        <v>70</v>
      </c>
      <c r="M70" s="31">
        <v>2021</v>
      </c>
      <c r="N70" s="31">
        <v>0</v>
      </c>
      <c r="O70" s="31">
        <v>243.63</v>
      </c>
      <c r="P70" s="31">
        <v>32.169059746912197</v>
      </c>
    </row>
    <row r="71" spans="1:16" ht="11.25" customHeight="1" x14ac:dyDescent="0.3">
      <c r="A71" s="31">
        <v>70</v>
      </c>
      <c r="B71" s="31" t="s">
        <v>499</v>
      </c>
      <c r="C71" s="31" t="s">
        <v>46</v>
      </c>
      <c r="D71" s="31" t="s">
        <v>23</v>
      </c>
      <c r="E71" s="31" t="s">
        <v>47</v>
      </c>
      <c r="F71" s="31" t="s">
        <v>49</v>
      </c>
      <c r="G71" s="31" t="s">
        <v>25</v>
      </c>
      <c r="H71" s="31" t="s">
        <v>25</v>
      </c>
      <c r="I71" s="31" t="s">
        <v>25</v>
      </c>
      <c r="J71" s="31" t="s">
        <v>646</v>
      </c>
      <c r="K71" s="31" t="s">
        <v>645</v>
      </c>
      <c r="L71" s="31" t="s">
        <v>70</v>
      </c>
      <c r="M71" s="31">
        <v>2021</v>
      </c>
      <c r="N71" s="31">
        <v>0</v>
      </c>
      <c r="O71" s="31">
        <v>265.77999999999997</v>
      </c>
      <c r="P71" s="31">
        <v>35.093519723904201</v>
      </c>
    </row>
    <row r="72" spans="1:16" ht="11.25" customHeight="1" x14ac:dyDescent="0.3">
      <c r="A72" s="31">
        <v>71</v>
      </c>
      <c r="B72" s="31" t="s">
        <v>527</v>
      </c>
      <c r="C72" s="31" t="s">
        <v>37</v>
      </c>
      <c r="D72" s="31" t="s">
        <v>69</v>
      </c>
      <c r="E72" s="31" t="s">
        <v>25</v>
      </c>
      <c r="F72" s="31" t="s">
        <v>25</v>
      </c>
      <c r="G72" s="31" t="s">
        <v>25</v>
      </c>
      <c r="H72" s="31" t="s">
        <v>25</v>
      </c>
      <c r="I72" s="31" t="s">
        <v>39</v>
      </c>
      <c r="J72" s="31" t="s">
        <v>646</v>
      </c>
      <c r="K72" s="31" t="s">
        <v>645</v>
      </c>
      <c r="L72" s="31" t="s">
        <v>70</v>
      </c>
      <c r="M72" s="31">
        <v>2021</v>
      </c>
      <c r="N72" s="31">
        <v>0</v>
      </c>
      <c r="O72" s="31">
        <v>185.74</v>
      </c>
      <c r="P72" s="31"/>
    </row>
    <row r="73" spans="1:16" ht="11.25" customHeight="1" x14ac:dyDescent="0.3">
      <c r="A73" s="31">
        <v>72</v>
      </c>
      <c r="B73" s="31" t="s">
        <v>527</v>
      </c>
      <c r="C73" s="31" t="s">
        <v>37</v>
      </c>
      <c r="D73" s="31" t="s">
        <v>69</v>
      </c>
      <c r="E73" s="31" t="s">
        <v>25</v>
      </c>
      <c r="F73" s="31" t="s">
        <v>25</v>
      </c>
      <c r="G73" s="31" t="s">
        <v>25</v>
      </c>
      <c r="H73" s="31" t="s">
        <v>25</v>
      </c>
      <c r="I73" s="31" t="s">
        <v>34</v>
      </c>
      <c r="J73" s="31" t="s">
        <v>646</v>
      </c>
      <c r="K73" s="31" t="s">
        <v>645</v>
      </c>
      <c r="L73" s="31" t="s">
        <v>70</v>
      </c>
      <c r="M73" s="31">
        <v>2021</v>
      </c>
      <c r="N73" s="31">
        <v>0</v>
      </c>
      <c r="O73" s="31">
        <v>185.74</v>
      </c>
      <c r="P73" s="31"/>
    </row>
    <row r="74" spans="1:16" ht="11.25" customHeight="1" x14ac:dyDescent="0.3">
      <c r="A74" s="31">
        <v>73</v>
      </c>
      <c r="B74" s="31" t="s">
        <v>527</v>
      </c>
      <c r="C74" s="31" t="s">
        <v>22</v>
      </c>
      <c r="D74" s="31" t="s">
        <v>69</v>
      </c>
      <c r="E74" s="31" t="s">
        <v>24</v>
      </c>
      <c r="F74" s="31" t="s">
        <v>24</v>
      </c>
      <c r="G74" s="31" t="s">
        <v>25</v>
      </c>
      <c r="H74" s="31" t="s">
        <v>25</v>
      </c>
      <c r="I74" s="31" t="s">
        <v>39</v>
      </c>
      <c r="J74" s="31" t="s">
        <v>646</v>
      </c>
      <c r="K74" s="31" t="s">
        <v>645</v>
      </c>
      <c r="L74" s="31" t="s">
        <v>70</v>
      </c>
      <c r="M74" s="31">
        <v>2021</v>
      </c>
      <c r="N74" s="31">
        <v>0</v>
      </c>
      <c r="O74" s="31">
        <v>185.74</v>
      </c>
      <c r="P74" s="31"/>
    </row>
    <row r="75" spans="1:16" ht="11.25" customHeight="1" x14ac:dyDescent="0.3">
      <c r="A75" s="31">
        <v>74</v>
      </c>
      <c r="B75" s="31" t="s">
        <v>527</v>
      </c>
      <c r="C75" s="31" t="s">
        <v>22</v>
      </c>
      <c r="D75" s="31" t="s">
        <v>69</v>
      </c>
      <c r="E75" s="31" t="s">
        <v>24</v>
      </c>
      <c r="F75" s="31" t="s">
        <v>24</v>
      </c>
      <c r="G75" s="31" t="s">
        <v>25</v>
      </c>
      <c r="H75" s="31" t="s">
        <v>25</v>
      </c>
      <c r="I75" s="31" t="s">
        <v>42</v>
      </c>
      <c r="J75" s="31" t="s">
        <v>646</v>
      </c>
      <c r="K75" s="31" t="s">
        <v>645</v>
      </c>
      <c r="L75" s="31" t="s">
        <v>70</v>
      </c>
      <c r="M75" s="31">
        <v>2021</v>
      </c>
      <c r="N75" s="31">
        <v>0</v>
      </c>
      <c r="O75" s="31">
        <v>185.74</v>
      </c>
      <c r="P75" s="31"/>
    </row>
    <row r="76" spans="1:16" ht="11.25" customHeight="1" x14ac:dyDescent="0.3">
      <c r="A76" s="31">
        <v>75</v>
      </c>
      <c r="B76" s="31" t="s">
        <v>527</v>
      </c>
      <c r="C76" s="31" t="s">
        <v>22</v>
      </c>
      <c r="D76" s="31" t="s">
        <v>69</v>
      </c>
      <c r="E76" s="31" t="s">
        <v>24</v>
      </c>
      <c r="F76" s="31" t="s">
        <v>24</v>
      </c>
      <c r="G76" s="31" t="s">
        <v>25</v>
      </c>
      <c r="H76" s="31" t="s">
        <v>25</v>
      </c>
      <c r="I76" s="31" t="s">
        <v>34</v>
      </c>
      <c r="J76" s="31" t="s">
        <v>646</v>
      </c>
      <c r="K76" s="31" t="s">
        <v>645</v>
      </c>
      <c r="L76" s="31" t="s">
        <v>70</v>
      </c>
      <c r="M76" s="31">
        <v>2021</v>
      </c>
      <c r="N76" s="31">
        <v>0</v>
      </c>
      <c r="O76" s="31">
        <v>185.74</v>
      </c>
      <c r="P76" s="31"/>
    </row>
    <row r="77" spans="1:16" ht="11.25" customHeight="1" x14ac:dyDescent="0.3">
      <c r="A77" s="31">
        <v>76</v>
      </c>
      <c r="B77" s="31" t="s">
        <v>527</v>
      </c>
      <c r="C77" s="31" t="s">
        <v>22</v>
      </c>
      <c r="D77" s="31" t="s">
        <v>73</v>
      </c>
      <c r="E77" s="31" t="s">
        <v>24</v>
      </c>
      <c r="F77" s="31" t="s">
        <v>24</v>
      </c>
      <c r="G77" s="31" t="s">
        <v>25</v>
      </c>
      <c r="H77" s="31" t="s">
        <v>25</v>
      </c>
      <c r="I77" s="31" t="s">
        <v>25</v>
      </c>
      <c r="J77" s="31" t="s">
        <v>646</v>
      </c>
      <c r="K77" s="31" t="s">
        <v>645</v>
      </c>
      <c r="L77" s="31" t="s">
        <v>70</v>
      </c>
      <c r="M77" s="31">
        <v>2021</v>
      </c>
      <c r="N77" s="31">
        <v>0</v>
      </c>
      <c r="O77" s="31">
        <v>185.74</v>
      </c>
      <c r="P77" s="31"/>
    </row>
    <row r="78" spans="1:16" ht="11.25" customHeight="1" x14ac:dyDescent="0.3">
      <c r="A78" s="31">
        <v>77</v>
      </c>
      <c r="B78" s="31" t="s">
        <v>527</v>
      </c>
      <c r="C78" s="31" t="s">
        <v>22</v>
      </c>
      <c r="D78" s="31" t="s">
        <v>73</v>
      </c>
      <c r="E78" s="31" t="s">
        <v>24</v>
      </c>
      <c r="F78" s="31" t="s">
        <v>29</v>
      </c>
      <c r="G78" s="31" t="s">
        <v>25</v>
      </c>
      <c r="H78" s="31" t="s">
        <v>25</v>
      </c>
      <c r="I78" s="31" t="s">
        <v>25</v>
      </c>
      <c r="J78" s="31" t="s">
        <v>646</v>
      </c>
      <c r="K78" s="31" t="s">
        <v>645</v>
      </c>
      <c r="L78" s="31" t="s">
        <v>70</v>
      </c>
      <c r="M78" s="31">
        <v>2021</v>
      </c>
      <c r="N78" s="31">
        <v>0</v>
      </c>
      <c r="O78" s="31">
        <v>65.010000000000005</v>
      </c>
      <c r="P78" s="31"/>
    </row>
    <row r="79" spans="1:16" ht="11.25" customHeight="1" x14ac:dyDescent="0.3">
      <c r="A79" s="31">
        <v>78</v>
      </c>
      <c r="B79" s="31" t="s">
        <v>527</v>
      </c>
      <c r="C79" s="31" t="s">
        <v>22</v>
      </c>
      <c r="D79" s="31" t="s">
        <v>73</v>
      </c>
      <c r="E79" s="31" t="s">
        <v>24</v>
      </c>
      <c r="F79" s="31" t="s">
        <v>30</v>
      </c>
      <c r="G79" s="31" t="s">
        <v>25</v>
      </c>
      <c r="H79" s="31" t="s">
        <v>25</v>
      </c>
      <c r="I79" s="31" t="s">
        <v>25</v>
      </c>
      <c r="J79" s="31" t="s">
        <v>646</v>
      </c>
      <c r="K79" s="31" t="s">
        <v>645</v>
      </c>
      <c r="L79" s="31" t="s">
        <v>70</v>
      </c>
      <c r="M79" s="31">
        <v>2021</v>
      </c>
      <c r="N79" s="31">
        <v>0</v>
      </c>
      <c r="O79" s="31">
        <v>111.45</v>
      </c>
      <c r="P79" s="31"/>
    </row>
    <row r="80" spans="1:16" ht="11.25" customHeight="1" x14ac:dyDescent="0.3">
      <c r="A80" s="31">
        <v>79</v>
      </c>
      <c r="B80" s="31" t="s">
        <v>527</v>
      </c>
      <c r="C80" s="31" t="s">
        <v>22</v>
      </c>
      <c r="D80" s="31" t="s">
        <v>73</v>
      </c>
      <c r="E80" s="31" t="s">
        <v>24</v>
      </c>
      <c r="F80" s="31" t="s">
        <v>31</v>
      </c>
      <c r="G80" s="31" t="s">
        <v>25</v>
      </c>
      <c r="H80" s="31" t="s">
        <v>25</v>
      </c>
      <c r="I80" s="31" t="s">
        <v>25</v>
      </c>
      <c r="J80" s="31" t="s">
        <v>646</v>
      </c>
      <c r="K80" s="31" t="s">
        <v>645</v>
      </c>
      <c r="L80" s="31" t="s">
        <v>70</v>
      </c>
      <c r="M80" s="31">
        <v>2021</v>
      </c>
      <c r="N80" s="31">
        <v>0</v>
      </c>
      <c r="O80" s="31">
        <v>167.17</v>
      </c>
      <c r="P80" s="31"/>
    </row>
    <row r="81" spans="1:16" ht="11.25" customHeight="1" x14ac:dyDescent="0.3">
      <c r="A81" s="31">
        <v>80</v>
      </c>
      <c r="B81" s="31" t="s">
        <v>527</v>
      </c>
      <c r="C81" s="31" t="s">
        <v>22</v>
      </c>
      <c r="D81" s="31" t="s">
        <v>73</v>
      </c>
      <c r="E81" s="31" t="s">
        <v>24</v>
      </c>
      <c r="F81" s="31" t="s">
        <v>32</v>
      </c>
      <c r="G81" s="31" t="s">
        <v>25</v>
      </c>
      <c r="H81" s="31" t="s">
        <v>25</v>
      </c>
      <c r="I81" s="31" t="s">
        <v>25</v>
      </c>
      <c r="J81" s="31" t="s">
        <v>646</v>
      </c>
      <c r="K81" s="31" t="s">
        <v>645</v>
      </c>
      <c r="L81" s="31" t="s">
        <v>70</v>
      </c>
      <c r="M81" s="31">
        <v>2021</v>
      </c>
      <c r="N81" s="31">
        <v>0</v>
      </c>
      <c r="O81" s="31">
        <v>185.74</v>
      </c>
      <c r="P81" s="31"/>
    </row>
    <row r="82" spans="1:16" ht="11.25" customHeight="1" x14ac:dyDescent="0.3">
      <c r="A82" s="31">
        <v>81</v>
      </c>
      <c r="B82" s="31" t="s">
        <v>527</v>
      </c>
      <c r="C82" s="31" t="s">
        <v>22</v>
      </c>
      <c r="D82" s="31" t="s">
        <v>84</v>
      </c>
      <c r="E82" s="31" t="s">
        <v>24</v>
      </c>
      <c r="F82" s="31" t="s">
        <v>24</v>
      </c>
      <c r="G82" s="31" t="s">
        <v>25</v>
      </c>
      <c r="H82" s="31" t="s">
        <v>25</v>
      </c>
      <c r="I82" s="31" t="s">
        <v>25</v>
      </c>
      <c r="J82" s="31" t="s">
        <v>646</v>
      </c>
      <c r="K82" s="31" t="s">
        <v>645</v>
      </c>
      <c r="L82" s="31" t="s">
        <v>70</v>
      </c>
      <c r="M82" s="31">
        <v>2021</v>
      </c>
      <c r="N82" s="31">
        <v>0</v>
      </c>
      <c r="O82" s="31">
        <v>185.74</v>
      </c>
      <c r="P82" s="31"/>
    </row>
    <row r="83" spans="1:16" ht="11.25" customHeight="1" x14ac:dyDescent="0.3">
      <c r="A83" s="31">
        <v>82</v>
      </c>
      <c r="B83" s="31" t="s">
        <v>527</v>
      </c>
      <c r="C83" s="31" t="s">
        <v>22</v>
      </c>
      <c r="D83" s="31" t="s">
        <v>84</v>
      </c>
      <c r="E83" s="31" t="s">
        <v>24</v>
      </c>
      <c r="F83" s="31" t="s">
        <v>29</v>
      </c>
      <c r="G83" s="31" t="s">
        <v>25</v>
      </c>
      <c r="H83" s="31" t="s">
        <v>25</v>
      </c>
      <c r="I83" s="31" t="s">
        <v>25</v>
      </c>
      <c r="J83" s="31" t="s">
        <v>646</v>
      </c>
      <c r="K83" s="31" t="s">
        <v>645</v>
      </c>
      <c r="L83" s="31" t="s">
        <v>70</v>
      </c>
      <c r="M83" s="31">
        <v>2021</v>
      </c>
      <c r="N83" s="31">
        <v>0</v>
      </c>
      <c r="O83" s="31">
        <v>65.010000000000005</v>
      </c>
      <c r="P83" s="31"/>
    </row>
    <row r="84" spans="1:16" ht="11.25" customHeight="1" x14ac:dyDescent="0.3">
      <c r="A84" s="31">
        <v>83</v>
      </c>
      <c r="B84" s="31" t="s">
        <v>527</v>
      </c>
      <c r="C84" s="31" t="s">
        <v>22</v>
      </c>
      <c r="D84" s="31" t="s">
        <v>84</v>
      </c>
      <c r="E84" s="31" t="s">
        <v>24</v>
      </c>
      <c r="F84" s="31" t="s">
        <v>30</v>
      </c>
      <c r="G84" s="31" t="s">
        <v>25</v>
      </c>
      <c r="H84" s="31" t="s">
        <v>25</v>
      </c>
      <c r="I84" s="31" t="s">
        <v>25</v>
      </c>
      <c r="J84" s="31" t="s">
        <v>646</v>
      </c>
      <c r="K84" s="31" t="s">
        <v>645</v>
      </c>
      <c r="L84" s="31" t="s">
        <v>70</v>
      </c>
      <c r="M84" s="31">
        <v>2021</v>
      </c>
      <c r="N84" s="31">
        <v>0</v>
      </c>
      <c r="O84" s="31">
        <v>111.45</v>
      </c>
      <c r="P84" s="31"/>
    </row>
    <row r="85" spans="1:16" ht="11.25" customHeight="1" x14ac:dyDescent="0.3">
      <c r="A85" s="31">
        <v>84</v>
      </c>
      <c r="B85" s="31" t="s">
        <v>527</v>
      </c>
      <c r="C85" s="31" t="s">
        <v>22</v>
      </c>
      <c r="D85" s="31" t="s">
        <v>84</v>
      </c>
      <c r="E85" s="31" t="s">
        <v>24</v>
      </c>
      <c r="F85" s="31" t="s">
        <v>31</v>
      </c>
      <c r="G85" s="31" t="s">
        <v>25</v>
      </c>
      <c r="H85" s="31" t="s">
        <v>25</v>
      </c>
      <c r="I85" s="31" t="s">
        <v>25</v>
      </c>
      <c r="J85" s="31" t="s">
        <v>646</v>
      </c>
      <c r="K85" s="31" t="s">
        <v>645</v>
      </c>
      <c r="L85" s="31" t="s">
        <v>70</v>
      </c>
      <c r="M85" s="31">
        <v>2021</v>
      </c>
      <c r="N85" s="31">
        <v>0</v>
      </c>
      <c r="O85" s="31">
        <v>167.17</v>
      </c>
      <c r="P85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A00D-DFE7-45D2-B624-1C3F620DBDDE}">
  <dimension ref="A1:AD49"/>
  <sheetViews>
    <sheetView showGridLines="0" workbookViewId="0">
      <selection sqref="A1:W49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20" width="6.33203125" style="9" bestFit="1" customWidth="1"/>
    <col min="21" max="21" width="13" style="9" bestFit="1" customWidth="1"/>
    <col min="22" max="16384" width="8.88671875" style="9"/>
  </cols>
  <sheetData>
    <row r="1" spans="1:30" ht="11.25" customHeight="1" x14ac:dyDescent="0.3">
      <c r="A1" s="10" t="s">
        <v>60</v>
      </c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68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6" t="s">
        <v>37</v>
      </c>
      <c r="B2" s="76" t="s">
        <v>41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76</v>
      </c>
      <c r="H2" s="13" t="s">
        <v>75</v>
      </c>
      <c r="I2" s="13">
        <f>SUMIF(Mercado_Receita!$S$2:$S$418,"44440A4AzulNão se aplicaNão se aplicaNão se aplicaNão se aplicaPonta",Mercado_Receita!$J$2:$J$418)+SUMIF(Mercado_Receita!$S$2:$S$418,"44440A4AzulNão se aplicaNão se aplicaAPENão se aplicaPonta",Mercado_Receita!$J$2:$J$418)</f>
        <v>550</v>
      </c>
      <c r="J2" s="13">
        <f>SUMIF(Mercado_Receita!$S$2:$S$418,"44470A4AzulNão se aplicaNão se aplicaNão se aplicaNão se aplicaPonta",Mercado_Receita!$J$2:$J$418)+SUMIF(Mercado_Receita!$S$2:$S$418,"44470A4AzulNão se aplicaNão se aplicaAPENão se aplicaPonta",Mercado_Receita!$J$2:$J$418)</f>
        <v>533</v>
      </c>
      <c r="K2" s="13">
        <f>SUMIF(Mercado_Receita!$S$2:$S$418,"44501A4AzulNão se aplicaNão se aplicaNão se aplicaNão se aplicaPonta",Mercado_Receita!$J$2:$J$418)+SUMIF(Mercado_Receita!$S$2:$S$418,"44501A4AzulNão se aplicaNão se aplicaAPENão se aplicaPonta",Mercado_Receita!$J$2:$J$418)</f>
        <v>555</v>
      </c>
      <c r="L2" s="13">
        <f>SUMIF(Mercado_Receita!$S$2:$S$418,"44531A4AzulNão se aplicaNão se aplicaNão se aplicaNão se aplicaPonta",Mercado_Receita!$J$2:$J$418)+SUMIF(Mercado_Receita!$S$2:$S$418,"44531A4AzulNão se aplicaNão se aplicaAPENão se aplicaPonta",Mercado_Receita!$J$2:$J$418)</f>
        <v>544</v>
      </c>
      <c r="M2" s="13">
        <f>SUMIF(Mercado_Receita!$S$2:$S$418,"44562A4AzulNão se aplicaNão se aplicaNão se aplicaNão se aplicaPonta",Mercado_Receita!$J$2:$J$418)+SUMIF(Mercado_Receita!$S$2:$S$418,"44562A4AzulNão se aplicaNão se aplicaAPENão se aplicaPonta",Mercado_Receita!$J$2:$J$418)</f>
        <v>581</v>
      </c>
      <c r="N2" s="13">
        <f>SUMIF(Mercado_Receita!$S$2:$S$418,"44593A4AzulNão se aplicaNão se aplicaNão se aplicaNão se aplicaPonta",Mercado_Receita!$J$2:$J$418)+SUMIF(Mercado_Receita!$S$2:$S$418,"44593A4AzulNão se aplicaNão se aplicaAPENão se aplicaPonta",Mercado_Receita!$J$2:$J$418)</f>
        <v>582</v>
      </c>
      <c r="O2" s="13">
        <f>SUMIF(Mercado_Receita!$S$2:$S$418,"44621A4AzulNão se aplicaNão se aplicaNão se aplicaNão se aplicaPonta",Mercado_Receita!$J$2:$J$418)+SUMIF(Mercado_Receita!$S$2:$S$418,"44621A4AzulNão se aplicaNão se aplicaAPENão se aplicaPonta",Mercado_Receita!$J$2:$J$418)</f>
        <v>527</v>
      </c>
      <c r="P2" s="13">
        <f>SUMIF(Mercado_Receita!$S$2:$S$418,"44652A4AzulNão se aplicaNão se aplicaNão se aplicaNão se aplicaPonta",Mercado_Receita!$J$2:$J$418)+SUMIF(Mercado_Receita!$S$2:$S$418,"44652A4AzulNão se aplicaNão se aplicaAPENão se aplicaPonta",Mercado_Receita!$J$2:$J$418)</f>
        <v>527</v>
      </c>
      <c r="Q2" s="13">
        <f>SUMIF(Mercado_Receita!$S$2:$S$418,"44682A4AzulNão se aplicaNão se aplicaNão se aplicaNão se aplicaPonta",Mercado_Receita!$J$2:$J$418)+SUMIF(Mercado_Receita!$S$2:$S$418,"44682A4AzulNão se aplicaNão se aplicaAPENão se aplicaPonta",Mercado_Receita!$J$2:$J$418)</f>
        <v>533</v>
      </c>
      <c r="R2" s="13">
        <f>SUMIF(Mercado_Receita!$S$2:$S$418,"44713A4AzulNão se aplicaNão se aplicaNão se aplicaNão se aplicaPonta",Mercado_Receita!$J$2:$J$418)+SUMIF(Mercado_Receita!$S$2:$S$418,"44713A4AzulNão se aplicaNão se aplicaAPENão se aplicaPonta",Mercado_Receita!$J$2:$J$418)</f>
        <v>529</v>
      </c>
      <c r="S2" s="13">
        <f>SUMIF(Mercado_Receita!$S$2:$S$418,"44743A4AzulNão se aplicaNão se aplicaNão se aplicaNão se aplicaPonta",Mercado_Receita!$J$2:$J$418)+SUMIF(Mercado_Receita!$S$2:$S$418,"44743A4AzulNão se aplicaNão se aplicaAPENão se aplicaPonta",Mercado_Receita!$J$2:$J$418)</f>
        <v>529</v>
      </c>
      <c r="T2" s="13">
        <f>SUMIF(Mercado_Receita!$S$2:$S$418,"44774A4AzulNão se aplicaNão se aplicaNão se aplicaNão se aplicaPonta",Mercado_Receita!$J$2:$J$418)+SUMIF(Mercado_Receita!$S$2:$S$418,"44774A4AzulNão se aplicaNão se aplicaAPENão se aplicaPonta",Mercado_Receita!$J$2:$J$418)</f>
        <v>533</v>
      </c>
      <c r="U2" s="13">
        <f t="shared" ref="U2:U48" si="0">SUM(I2:T2)</f>
        <v>6523</v>
      </c>
      <c r="V2" s="13"/>
      <c r="W2" s="13"/>
    </row>
    <row r="3" spans="1:30" ht="11.25" customHeight="1" x14ac:dyDescent="0.3">
      <c r="A3" s="77"/>
      <c r="B3" s="77"/>
      <c r="C3" s="77"/>
      <c r="D3" s="77"/>
      <c r="E3" s="77"/>
      <c r="F3" s="77"/>
      <c r="G3" s="13" t="s">
        <v>77</v>
      </c>
      <c r="H3" s="13" t="s">
        <v>75</v>
      </c>
      <c r="I3" s="13">
        <f>SUMIF(Mercado_Receita!$S$2:$S$418,"44440A4AzulNão se aplicaNão se aplicaNão se aplicaNão se aplicaFora ponta",Mercado_Receita!$J$2:$J$418)+SUMIF(Mercado_Receita!$S$2:$S$418,"44440A4AzulNão se aplicaNão se aplicaAPENão se aplicaFora ponta",Mercado_Receita!$J$2:$J$418)</f>
        <v>555</v>
      </c>
      <c r="J3" s="13">
        <f>SUMIF(Mercado_Receita!$S$2:$S$418,"44470A4AzulNão se aplicaNão se aplicaNão se aplicaNão se aplicaFora ponta",Mercado_Receita!$J$2:$J$418)+SUMIF(Mercado_Receita!$S$2:$S$418,"44470A4AzulNão se aplicaNão se aplicaAPENão se aplicaFora ponta",Mercado_Receita!$J$2:$J$418)</f>
        <v>541</v>
      </c>
      <c r="K3" s="13">
        <f>SUMIF(Mercado_Receita!$S$2:$S$418,"44501A4AzulNão se aplicaNão se aplicaNão se aplicaNão se aplicaFora ponta",Mercado_Receita!$J$2:$J$418)+SUMIF(Mercado_Receita!$S$2:$S$418,"44501A4AzulNão se aplicaNão se aplicaAPENão se aplicaFora ponta",Mercado_Receita!$J$2:$J$418)</f>
        <v>555</v>
      </c>
      <c r="L3" s="13">
        <f>SUMIF(Mercado_Receita!$S$2:$S$418,"44531A4AzulNão se aplicaNão se aplicaNão se aplicaNão se aplicaFora ponta",Mercado_Receita!$J$2:$J$418)+SUMIF(Mercado_Receita!$S$2:$S$418,"44531A4AzulNão se aplicaNão se aplicaAPENão se aplicaFora ponta",Mercado_Receita!$J$2:$J$418)</f>
        <v>571</v>
      </c>
      <c r="M3" s="13">
        <f>SUMIF(Mercado_Receita!$S$2:$S$418,"44562A4AzulNão se aplicaNão se aplicaNão se aplicaNão se aplicaFora ponta",Mercado_Receita!$J$2:$J$418)+SUMIF(Mercado_Receita!$S$2:$S$418,"44562A4AzulNão se aplicaNão se aplicaAPENão se aplicaFora ponta",Mercado_Receita!$J$2:$J$418)</f>
        <v>579</v>
      </c>
      <c r="N3" s="13">
        <f>SUMIF(Mercado_Receita!$S$2:$S$418,"44593A4AzulNão se aplicaNão se aplicaNão se aplicaNão se aplicaFora ponta",Mercado_Receita!$J$2:$J$418)+SUMIF(Mercado_Receita!$S$2:$S$418,"44593A4AzulNão se aplicaNão se aplicaAPENão se aplicaFora ponta",Mercado_Receita!$J$2:$J$418)</f>
        <v>590</v>
      </c>
      <c r="O3" s="13">
        <f>SUMIF(Mercado_Receita!$S$2:$S$418,"44621A4AzulNão se aplicaNão se aplicaNão se aplicaNão se aplicaFora ponta",Mercado_Receita!$J$2:$J$418)+SUMIF(Mercado_Receita!$S$2:$S$418,"44621A4AzulNão se aplicaNão se aplicaAPENão se aplicaFora ponta",Mercado_Receita!$J$2:$J$418)</f>
        <v>527</v>
      </c>
      <c r="P3" s="13">
        <f>SUMIF(Mercado_Receita!$S$2:$S$418,"44652A4AzulNão se aplicaNão se aplicaNão se aplicaNão se aplicaFora ponta",Mercado_Receita!$J$2:$J$418)+SUMIF(Mercado_Receita!$S$2:$S$418,"44652A4AzulNão se aplicaNão se aplicaAPENão se aplicaFora ponta",Mercado_Receita!$J$2:$J$418)</f>
        <v>527</v>
      </c>
      <c r="Q3" s="13">
        <f>SUMIF(Mercado_Receita!$S$2:$S$418,"44682A4AzulNão se aplicaNão se aplicaNão se aplicaNão se aplicaFora ponta",Mercado_Receita!$J$2:$J$418)+SUMIF(Mercado_Receita!$S$2:$S$418,"44682A4AzulNão se aplicaNão se aplicaAPENão se aplicaFora ponta",Mercado_Receita!$J$2:$J$418)</f>
        <v>527</v>
      </c>
      <c r="R3" s="13">
        <f>SUMIF(Mercado_Receita!$S$2:$S$418,"44713A4AzulNão se aplicaNão se aplicaNão se aplicaNão se aplicaFora ponta",Mercado_Receita!$J$2:$J$418)+SUMIF(Mercado_Receita!$S$2:$S$418,"44713A4AzulNão se aplicaNão se aplicaAPENão se aplicaFora ponta",Mercado_Receita!$J$2:$J$418)</f>
        <v>530</v>
      </c>
      <c r="S3" s="13">
        <f>SUMIF(Mercado_Receita!$S$2:$S$418,"44743A4AzulNão se aplicaNão se aplicaNão se aplicaNão se aplicaFora ponta",Mercado_Receita!$J$2:$J$418)+SUMIF(Mercado_Receita!$S$2:$S$418,"44743A4AzulNão se aplicaNão se aplicaAPENão se aplicaFora ponta",Mercado_Receita!$J$2:$J$418)</f>
        <v>543</v>
      </c>
      <c r="T3" s="13">
        <f>SUMIF(Mercado_Receita!$S$2:$S$418,"44774A4AzulNão se aplicaNão se aplicaNão se aplicaNão se aplicaFora ponta",Mercado_Receita!$J$2:$J$418)+SUMIF(Mercado_Receita!$S$2:$S$418,"44774A4AzulNão se aplicaNão se aplicaAPENão se aplicaFora ponta",Mercado_Receita!$J$2:$J$418)</f>
        <v>530</v>
      </c>
      <c r="U3" s="13">
        <f t="shared" si="0"/>
        <v>6575</v>
      </c>
      <c r="V3" s="13"/>
      <c r="W3" s="13"/>
    </row>
    <row r="4" spans="1:30" ht="11.25" customHeight="1" x14ac:dyDescent="0.3">
      <c r="A4" s="77"/>
      <c r="B4" s="77"/>
      <c r="C4" s="77"/>
      <c r="D4" s="77"/>
      <c r="E4" s="77"/>
      <c r="F4" s="77"/>
      <c r="G4" s="13" t="s">
        <v>74</v>
      </c>
      <c r="H4" s="13" t="s">
        <v>70</v>
      </c>
      <c r="I4" s="13">
        <f>SUMIF(Mercado_Receita!$S$2:$S$418,"44440A4AzulNão se aplicaNão se aplicaNão se aplicaNão se aplicaPonta",Mercado_Receita!$L$2:$L$418)+SUMIF(Mercado_Receita!$S$2:$S$418,"44440A4AzulNão se aplicaNão se aplicaNão se aplicaNão se aplicaFora ponta",Mercado_Receita!$L$2:$L$418)+SUMIF(Mercado_Receita!$S$2:$S$418,"44440A4AzulNão se aplicaNão se aplicaNão se aplicaNão se aplicaIntermediário",Mercado_Receita!$L$2:$L$418)+SUMIF(Mercado_Receita!$S$2:$S$418,"44440A4AzulNão se aplicaNão se aplicaNão se aplicaNão se aplicaNão se aplica",Mercado_Receita!$L$2:$L$418)</f>
        <v>317.858</v>
      </c>
      <c r="J4" s="13">
        <f>SUMIF(Mercado_Receita!$S$2:$S$418,"44470A4AzulNão se aplicaNão se aplicaNão se aplicaNão se aplicaPonta",Mercado_Receita!$L$2:$L$418)+SUMIF(Mercado_Receita!$S$2:$S$418,"44470A4AzulNão se aplicaNão se aplicaNão se aplicaNão se aplicaFora ponta",Mercado_Receita!$L$2:$L$418)+SUMIF(Mercado_Receita!$S$2:$S$418,"44470A4AzulNão se aplicaNão se aplicaNão se aplicaNão se aplicaIntermediário",Mercado_Receita!$L$2:$L$418)+SUMIF(Mercado_Receita!$S$2:$S$418,"44470A4AzulNão se aplicaNão se aplicaNão se aplicaNão se aplicaNão se aplica",Mercado_Receita!$L$2:$L$418)</f>
        <v>342.86500000000001</v>
      </c>
      <c r="K4" s="13">
        <f>SUMIF(Mercado_Receita!$S$2:$S$418,"44501A4AzulNão se aplicaNão se aplicaNão se aplicaNão se aplicaPonta",Mercado_Receita!$L$2:$L$418)+SUMIF(Mercado_Receita!$S$2:$S$418,"44501A4AzulNão se aplicaNão se aplicaNão se aplicaNão se aplicaFora ponta",Mercado_Receita!$L$2:$L$418)+SUMIF(Mercado_Receita!$S$2:$S$418,"44501A4AzulNão se aplicaNão se aplicaNão se aplicaNão se aplicaIntermediário",Mercado_Receita!$L$2:$L$418)+SUMIF(Mercado_Receita!$S$2:$S$418,"44501A4AzulNão se aplicaNão se aplicaNão se aplicaNão se aplicaNão se aplica",Mercado_Receita!$L$2:$L$418)</f>
        <v>359.85300000000001</v>
      </c>
      <c r="L4" s="13">
        <f>SUMIF(Mercado_Receita!$S$2:$S$418,"44531A4AzulNão se aplicaNão se aplicaNão se aplicaNão se aplicaPonta",Mercado_Receita!$L$2:$L$418)+SUMIF(Mercado_Receita!$S$2:$S$418,"44531A4AzulNão se aplicaNão se aplicaNão se aplicaNão se aplicaFora ponta",Mercado_Receita!$L$2:$L$418)+SUMIF(Mercado_Receita!$S$2:$S$418,"44531A4AzulNão se aplicaNão se aplicaNão se aplicaNão se aplicaIntermediário",Mercado_Receita!$L$2:$L$418)+SUMIF(Mercado_Receita!$S$2:$S$418,"44531A4AzulNão se aplicaNão se aplicaNão se aplicaNão se aplicaNão se aplica",Mercado_Receita!$L$2:$L$418)</f>
        <v>373.79699999999997</v>
      </c>
      <c r="M4" s="13">
        <f>SUMIF(Mercado_Receita!$S$2:$S$418,"44562A4AzulNão se aplicaNão se aplicaNão se aplicaNão se aplicaPonta",Mercado_Receita!$L$2:$L$418)+SUMIF(Mercado_Receita!$S$2:$S$418,"44562A4AzulNão se aplicaNão se aplicaNão se aplicaNão se aplicaFora ponta",Mercado_Receita!$L$2:$L$418)+SUMIF(Mercado_Receita!$S$2:$S$418,"44562A4AzulNão se aplicaNão se aplicaNão se aplicaNão se aplicaIntermediário",Mercado_Receita!$L$2:$L$418)+SUMIF(Mercado_Receita!$S$2:$S$418,"44562A4AzulNão se aplicaNão se aplicaNão se aplicaNão se aplicaNão se aplica",Mercado_Receita!$L$2:$L$418)</f>
        <v>371.63899999999995</v>
      </c>
      <c r="N4" s="13">
        <f>SUMIF(Mercado_Receita!$S$2:$S$418,"44593A4AzulNão se aplicaNão se aplicaNão se aplicaNão se aplicaPonta",Mercado_Receita!$L$2:$L$418)+SUMIF(Mercado_Receita!$S$2:$S$418,"44593A4AzulNão se aplicaNão se aplicaNão se aplicaNão se aplicaFora ponta",Mercado_Receita!$L$2:$L$418)+SUMIF(Mercado_Receita!$S$2:$S$418,"44593A4AzulNão se aplicaNão se aplicaNão se aplicaNão se aplicaIntermediário",Mercado_Receita!$L$2:$L$418)+SUMIF(Mercado_Receita!$S$2:$S$418,"44593A4AzulNão se aplicaNão se aplicaNão se aplicaNão se aplicaNão se aplica",Mercado_Receita!$L$2:$L$418)</f>
        <v>342.78800000000001</v>
      </c>
      <c r="O4" s="13">
        <f>SUMIF(Mercado_Receita!$S$2:$S$418,"44621A4AzulNão se aplicaNão se aplicaNão se aplicaNão se aplicaPonta",Mercado_Receita!$L$2:$L$418)+SUMIF(Mercado_Receita!$S$2:$S$418,"44621A4AzulNão se aplicaNão se aplicaNão se aplicaNão se aplicaFora ponta",Mercado_Receita!$L$2:$L$418)+SUMIF(Mercado_Receita!$S$2:$S$418,"44621A4AzulNão se aplicaNão se aplicaNão se aplicaNão se aplicaIntermediário",Mercado_Receita!$L$2:$L$418)+SUMIF(Mercado_Receita!$S$2:$S$418,"44621A4AzulNão se aplicaNão se aplicaNão se aplicaNão se aplicaNão se aplica",Mercado_Receita!$L$2:$L$418)</f>
        <v>341.63699999999994</v>
      </c>
      <c r="P4" s="13">
        <f>SUMIF(Mercado_Receita!$S$2:$S$418,"44652A4AzulNão se aplicaNão se aplicaNão se aplicaNão se aplicaPonta",Mercado_Receita!$L$2:$L$418)+SUMIF(Mercado_Receita!$S$2:$S$418,"44652A4AzulNão se aplicaNão se aplicaNão se aplicaNão se aplicaFora ponta",Mercado_Receita!$L$2:$L$418)+SUMIF(Mercado_Receita!$S$2:$S$418,"44652A4AzulNão se aplicaNão se aplicaNão se aplicaNão se aplicaIntermediário",Mercado_Receita!$L$2:$L$418)+SUMIF(Mercado_Receita!$S$2:$S$418,"44652A4AzulNão se aplicaNão se aplicaNão se aplicaNão se aplicaNão se aplica",Mercado_Receita!$L$2:$L$418)</f>
        <v>309.77699999999999</v>
      </c>
      <c r="Q4" s="13">
        <f>SUMIF(Mercado_Receita!$S$2:$S$418,"44682A4AzulNão se aplicaNão se aplicaNão se aplicaNão se aplicaPonta",Mercado_Receita!$L$2:$L$418)+SUMIF(Mercado_Receita!$S$2:$S$418,"44682A4AzulNão se aplicaNão se aplicaNão se aplicaNão se aplicaFora ponta",Mercado_Receita!$L$2:$L$418)+SUMIF(Mercado_Receita!$S$2:$S$418,"44682A4AzulNão se aplicaNão se aplicaNão se aplicaNão se aplicaIntermediário",Mercado_Receita!$L$2:$L$418)+SUMIF(Mercado_Receita!$S$2:$S$418,"44682A4AzulNão se aplicaNão se aplicaNão se aplicaNão se aplicaNão se aplica",Mercado_Receita!$L$2:$L$418)</f>
        <v>328.24200000000002</v>
      </c>
      <c r="R4" s="13">
        <f>SUMIF(Mercado_Receita!$S$2:$S$418,"44713A4AzulNão se aplicaNão se aplicaNão se aplicaNão se aplicaPonta",Mercado_Receita!$L$2:$L$418)+SUMIF(Mercado_Receita!$S$2:$S$418,"44713A4AzulNão se aplicaNão se aplicaNão se aplicaNão se aplicaFora ponta",Mercado_Receita!$L$2:$L$418)+SUMIF(Mercado_Receita!$S$2:$S$418,"44713A4AzulNão se aplicaNão se aplicaNão se aplicaNão se aplicaIntermediário",Mercado_Receita!$L$2:$L$418)+SUMIF(Mercado_Receita!$S$2:$S$418,"44713A4AzulNão se aplicaNão se aplicaNão se aplicaNão se aplicaNão se aplica",Mercado_Receita!$L$2:$L$418)</f>
        <v>337.55899999999997</v>
      </c>
      <c r="S4" s="13">
        <f>SUMIF(Mercado_Receita!$S$2:$S$418,"44743A4AzulNão se aplicaNão se aplicaNão se aplicaNão se aplicaPonta",Mercado_Receita!$L$2:$L$418)+SUMIF(Mercado_Receita!$S$2:$S$418,"44743A4AzulNão se aplicaNão se aplicaNão se aplicaNão se aplicaFora ponta",Mercado_Receita!$L$2:$L$418)+SUMIF(Mercado_Receita!$S$2:$S$418,"44743A4AzulNão se aplicaNão se aplicaNão se aplicaNão se aplicaIntermediário",Mercado_Receita!$L$2:$L$418)+SUMIF(Mercado_Receita!$S$2:$S$418,"44743A4AzulNão se aplicaNão se aplicaNão se aplicaNão se aplicaNão se aplica",Mercado_Receita!$L$2:$L$418)</f>
        <v>329.38299999999998</v>
      </c>
      <c r="T4" s="13">
        <f>SUMIF(Mercado_Receita!$S$2:$S$418,"44774A4AzulNão se aplicaNão se aplicaNão se aplicaNão se aplicaPonta",Mercado_Receita!$L$2:$L$418)+SUMIF(Mercado_Receita!$S$2:$S$418,"44774A4AzulNão se aplicaNão se aplicaNão se aplicaNão se aplicaFora ponta",Mercado_Receita!$L$2:$L$418)+SUMIF(Mercado_Receita!$S$2:$S$418,"44774A4AzulNão se aplicaNão se aplicaNão se aplicaNão se aplicaIntermediário",Mercado_Receita!$L$2:$L$418)+SUMIF(Mercado_Receita!$S$2:$S$418,"44774A4AzulNão se aplicaNão se aplicaNão se aplicaNão se aplicaNão se aplica",Mercado_Receita!$L$2:$L$418)</f>
        <v>347.17100000000005</v>
      </c>
      <c r="U4" s="13">
        <f t="shared" si="0"/>
        <v>4102.5690000000004</v>
      </c>
      <c r="V4" s="13"/>
      <c r="W4" s="13"/>
    </row>
    <row r="5" spans="1:30" ht="11.25" customHeight="1" x14ac:dyDescent="0.3">
      <c r="A5" s="77"/>
      <c r="B5" s="77"/>
      <c r="C5" s="77"/>
      <c r="D5" s="77"/>
      <c r="E5" s="12" t="s">
        <v>78</v>
      </c>
      <c r="F5" s="12" t="s">
        <v>25</v>
      </c>
      <c r="G5" s="13" t="s">
        <v>74</v>
      </c>
      <c r="H5" s="13" t="s">
        <v>70</v>
      </c>
      <c r="I5" s="13">
        <f>SUMIF(Mercado_Receita!$S$2:$S$418,"44440A4AzulNão se aplicaNão se aplicaAPENão se aplicaPonta",Mercado_Receita!$L$2:$L$418)+SUMIF(Mercado_Receita!$S$2:$S$418,"44440A4AzulNão se aplicaNão se aplicaAPENão se aplicaFora ponta",Mercado_Receita!$L$2:$L$418)+SUMIF(Mercado_Receita!$S$2:$S$418,"44440A4AzulNão se aplicaNão se aplicaAPENão se aplicaIntermediário",Mercado_Receita!$L$2:$L$418)+SUMIF(Mercado_Receita!$S$2:$S$418,"44440A4AzulNão se aplicaNão se aplicaAPENão se aplicaNão se aplica",Mercado_Receita!$L$2:$L$418)</f>
        <v>0</v>
      </c>
      <c r="J5" s="13">
        <f>SUMIF(Mercado_Receita!$S$2:$S$418,"44470A4AzulNão se aplicaNão se aplicaAPENão se aplicaPonta",Mercado_Receita!$L$2:$L$418)+SUMIF(Mercado_Receita!$S$2:$S$418,"44470A4AzulNão se aplicaNão se aplicaAPENão se aplicaFora ponta",Mercado_Receita!$L$2:$L$418)+SUMIF(Mercado_Receita!$S$2:$S$418,"44470A4AzulNão se aplicaNão se aplicaAPENão se aplicaIntermediário",Mercado_Receita!$L$2:$L$418)+SUMIF(Mercado_Receita!$S$2:$S$418,"44470A4AzulNão se aplicaNão se aplicaAPENão se aplicaNão se aplica",Mercado_Receita!$L$2:$L$418)</f>
        <v>0</v>
      </c>
      <c r="K5" s="13">
        <f>SUMIF(Mercado_Receita!$S$2:$S$418,"44501A4AzulNão se aplicaNão se aplicaAPENão se aplicaPonta",Mercado_Receita!$L$2:$L$418)+SUMIF(Mercado_Receita!$S$2:$S$418,"44501A4AzulNão se aplicaNão se aplicaAPENão se aplicaFora ponta",Mercado_Receita!$L$2:$L$418)+SUMIF(Mercado_Receita!$S$2:$S$418,"44501A4AzulNão se aplicaNão se aplicaAPENão se aplicaIntermediário",Mercado_Receita!$L$2:$L$418)+SUMIF(Mercado_Receita!$S$2:$S$418,"44501A4AzulNão se aplicaNão se aplicaAPENão se aplicaNão se aplica",Mercado_Receita!$L$2:$L$418)</f>
        <v>0</v>
      </c>
      <c r="L5" s="13">
        <f>SUMIF(Mercado_Receita!$S$2:$S$418,"44531A4AzulNão se aplicaNão se aplicaAPENão se aplicaPonta",Mercado_Receita!$L$2:$L$418)+SUMIF(Mercado_Receita!$S$2:$S$418,"44531A4AzulNão se aplicaNão se aplicaAPENão se aplicaFora ponta",Mercado_Receita!$L$2:$L$418)+SUMIF(Mercado_Receita!$S$2:$S$418,"44531A4AzulNão se aplicaNão se aplicaAPENão se aplicaIntermediário",Mercado_Receita!$L$2:$L$418)+SUMIF(Mercado_Receita!$S$2:$S$418,"44531A4AzulNão se aplicaNão se aplicaAPENão se aplicaNão se aplica",Mercado_Receita!$L$2:$L$418)</f>
        <v>0</v>
      </c>
      <c r="M5" s="13">
        <f>SUMIF(Mercado_Receita!$S$2:$S$418,"44562A4AzulNão se aplicaNão se aplicaAPENão se aplicaPonta",Mercado_Receita!$L$2:$L$418)+SUMIF(Mercado_Receita!$S$2:$S$418,"44562A4AzulNão se aplicaNão se aplicaAPENão se aplicaFora ponta",Mercado_Receita!$L$2:$L$418)+SUMIF(Mercado_Receita!$S$2:$S$418,"44562A4AzulNão se aplicaNão se aplicaAPENão se aplicaIntermediário",Mercado_Receita!$L$2:$L$418)+SUMIF(Mercado_Receita!$S$2:$S$418,"44562A4AzulNão se aplicaNão se aplicaAPENão se aplicaNão se aplica",Mercado_Receita!$L$2:$L$418)</f>
        <v>0</v>
      </c>
      <c r="N5" s="13">
        <f>SUMIF(Mercado_Receita!$S$2:$S$418,"44593A4AzulNão se aplicaNão se aplicaAPENão se aplicaPonta",Mercado_Receita!$L$2:$L$418)+SUMIF(Mercado_Receita!$S$2:$S$418,"44593A4AzulNão se aplicaNão se aplicaAPENão se aplicaFora ponta",Mercado_Receita!$L$2:$L$418)+SUMIF(Mercado_Receita!$S$2:$S$418,"44593A4AzulNão se aplicaNão se aplicaAPENão se aplicaIntermediário",Mercado_Receita!$L$2:$L$418)+SUMIF(Mercado_Receita!$S$2:$S$418,"44593A4AzulNão se aplicaNão se aplicaAPENão se aplicaNão se aplica",Mercado_Receita!$L$2:$L$418)</f>
        <v>0</v>
      </c>
      <c r="O5" s="13">
        <f>SUMIF(Mercado_Receita!$S$2:$S$418,"44621A4AzulNão se aplicaNão se aplicaAPENão se aplicaPonta",Mercado_Receita!$L$2:$L$418)+SUMIF(Mercado_Receita!$S$2:$S$418,"44621A4AzulNão se aplicaNão se aplicaAPENão se aplicaFora ponta",Mercado_Receita!$L$2:$L$418)+SUMIF(Mercado_Receita!$S$2:$S$418,"44621A4AzulNão se aplicaNão se aplicaAPENão se aplicaIntermediário",Mercado_Receita!$L$2:$L$418)+SUMIF(Mercado_Receita!$S$2:$S$418,"44621A4AzulNão se aplicaNão se aplicaAPENão se aplicaNão se aplica",Mercado_Receita!$L$2:$L$418)</f>
        <v>0</v>
      </c>
      <c r="P5" s="13">
        <f>SUMIF(Mercado_Receita!$S$2:$S$418,"44652A4AzulNão se aplicaNão se aplicaAPENão se aplicaPonta",Mercado_Receita!$L$2:$L$418)+SUMIF(Mercado_Receita!$S$2:$S$418,"44652A4AzulNão se aplicaNão se aplicaAPENão se aplicaFora ponta",Mercado_Receita!$L$2:$L$418)+SUMIF(Mercado_Receita!$S$2:$S$418,"44652A4AzulNão se aplicaNão se aplicaAPENão se aplicaIntermediário",Mercado_Receita!$L$2:$L$418)+SUMIF(Mercado_Receita!$S$2:$S$418,"44652A4AzulNão se aplicaNão se aplicaAPENão se aplicaNão se aplica",Mercado_Receita!$L$2:$L$418)</f>
        <v>0</v>
      </c>
      <c r="Q5" s="13">
        <f>SUMIF(Mercado_Receita!$S$2:$S$418,"44682A4AzulNão se aplicaNão se aplicaAPENão se aplicaPonta",Mercado_Receita!$L$2:$L$418)+SUMIF(Mercado_Receita!$S$2:$S$418,"44682A4AzulNão se aplicaNão se aplicaAPENão se aplicaFora ponta",Mercado_Receita!$L$2:$L$418)+SUMIF(Mercado_Receita!$S$2:$S$418,"44682A4AzulNão se aplicaNão se aplicaAPENão se aplicaIntermediário",Mercado_Receita!$L$2:$L$418)+SUMIF(Mercado_Receita!$S$2:$S$418,"44682A4AzulNão se aplicaNão se aplicaAPENão se aplicaNão se aplica",Mercado_Receita!$L$2:$L$418)</f>
        <v>0</v>
      </c>
      <c r="R5" s="13">
        <f>SUMIF(Mercado_Receita!$S$2:$S$418,"44713A4AzulNão se aplicaNão se aplicaAPENão se aplicaPonta",Mercado_Receita!$L$2:$L$418)+SUMIF(Mercado_Receita!$S$2:$S$418,"44713A4AzulNão se aplicaNão se aplicaAPENão se aplicaFora ponta",Mercado_Receita!$L$2:$L$418)+SUMIF(Mercado_Receita!$S$2:$S$418,"44713A4AzulNão se aplicaNão se aplicaAPENão se aplicaIntermediário",Mercado_Receita!$L$2:$L$418)+SUMIF(Mercado_Receita!$S$2:$S$418,"44713A4AzulNão se aplicaNão se aplicaAPENão se aplicaNão se aplica",Mercado_Receita!$L$2:$L$418)</f>
        <v>0</v>
      </c>
      <c r="S5" s="13">
        <f>SUMIF(Mercado_Receita!$S$2:$S$418,"44743A4AzulNão se aplicaNão se aplicaAPENão se aplicaPonta",Mercado_Receita!$L$2:$L$418)+SUMIF(Mercado_Receita!$S$2:$S$418,"44743A4AzulNão se aplicaNão se aplicaAPENão se aplicaFora ponta",Mercado_Receita!$L$2:$L$418)+SUMIF(Mercado_Receita!$S$2:$S$418,"44743A4AzulNão se aplicaNão se aplicaAPENão se aplicaIntermediário",Mercado_Receita!$L$2:$L$418)+SUMIF(Mercado_Receita!$S$2:$S$418,"44743A4AzulNão se aplicaNão se aplicaAPENão se aplicaNão se aplica",Mercado_Receita!$L$2:$L$418)</f>
        <v>0</v>
      </c>
      <c r="T5" s="13">
        <f>SUMIF(Mercado_Receita!$S$2:$S$418,"44774A4AzulNão se aplicaNão se aplicaAPENão se aplicaPonta",Mercado_Receita!$L$2:$L$418)+SUMIF(Mercado_Receita!$S$2:$S$418,"44774A4AzulNão se aplicaNão se aplicaAPENão se aplicaFora ponta",Mercado_Receita!$L$2:$L$418)+SUMIF(Mercado_Receita!$S$2:$S$418,"44774A4AzulNão se aplicaNão se aplicaAPENão se aplicaIntermediário",Mercado_Receita!$L$2:$L$418)+SUMIF(Mercado_Receita!$S$2:$S$418,"44774A4AzulNão se aplicaNão se aplicaAPENão se aplicaNão se aplica",Mercado_Receita!$L$2:$L$418)</f>
        <v>0</v>
      </c>
      <c r="U5" s="13">
        <f t="shared" si="0"/>
        <v>0</v>
      </c>
      <c r="V5" s="13"/>
      <c r="W5" s="13"/>
    </row>
    <row r="6" spans="1:30" ht="11.25" customHeight="1" x14ac:dyDescent="0.3">
      <c r="A6" s="77"/>
      <c r="B6" s="12" t="s">
        <v>79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75</v>
      </c>
      <c r="I6" s="13">
        <f>SUMIF(Mercado_Receita!$S$2:$S$418,"44440A4GeraçãoNão se aplicaNão se aplicaNão se aplicaNão se aplicaNão se aplica",Mercado_Receita!$J$2:$J$418)+SUMIF(Mercado_Receita!$S$2:$S$418,"44440A4GeraçãoNão se aplicaNão se aplicaAPENão se aplicaNão se aplica",Mercado_Receita!$J$2:$J$418)</f>
        <v>0</v>
      </c>
      <c r="J6" s="13">
        <f>SUMIF(Mercado_Receita!$S$2:$S$418,"44470A4GeraçãoNão se aplicaNão se aplicaNão se aplicaNão se aplicaNão se aplica",Mercado_Receita!$J$2:$J$418)+SUMIF(Mercado_Receita!$S$2:$S$418,"44470A4GeraçãoNão se aplicaNão se aplicaAPENão se aplicaNão se aplica",Mercado_Receita!$J$2:$J$418)</f>
        <v>0</v>
      </c>
      <c r="K6" s="13">
        <f>SUMIF(Mercado_Receita!$S$2:$S$418,"44501A4GeraçãoNão se aplicaNão se aplicaNão se aplicaNão se aplicaNão se aplica",Mercado_Receita!$J$2:$J$418)+SUMIF(Mercado_Receita!$S$2:$S$418,"44501A4GeraçãoNão se aplicaNão se aplicaAPENão se aplicaNão se aplica",Mercado_Receita!$J$2:$J$418)</f>
        <v>0</v>
      </c>
      <c r="L6" s="13">
        <f>SUMIF(Mercado_Receita!$S$2:$S$418,"44531A4GeraçãoNão se aplicaNão se aplicaNão se aplicaNão se aplicaNão se aplica",Mercado_Receita!$J$2:$J$418)+SUMIF(Mercado_Receita!$S$2:$S$418,"44531A4GeraçãoNão se aplicaNão se aplicaAPENão se aplicaNão se aplica",Mercado_Receita!$J$2:$J$418)</f>
        <v>0</v>
      </c>
      <c r="M6" s="13">
        <f>SUMIF(Mercado_Receita!$S$2:$S$418,"44562A4GeraçãoNão se aplicaNão se aplicaNão se aplicaNão se aplicaNão se aplica",Mercado_Receita!$J$2:$J$418)+SUMIF(Mercado_Receita!$S$2:$S$418,"44562A4GeraçãoNão se aplicaNão se aplicaAPENão se aplicaNão se aplica",Mercado_Receita!$J$2:$J$418)</f>
        <v>0</v>
      </c>
      <c r="N6" s="13">
        <f>SUMIF(Mercado_Receita!$S$2:$S$418,"44593A4GeraçãoNão se aplicaNão se aplicaNão se aplicaNão se aplicaNão se aplica",Mercado_Receita!$J$2:$J$418)+SUMIF(Mercado_Receita!$S$2:$S$418,"44593A4GeraçãoNão se aplicaNão se aplicaAPENão se aplicaNão se aplica",Mercado_Receita!$J$2:$J$418)</f>
        <v>0</v>
      </c>
      <c r="O6" s="13">
        <f>SUMIF(Mercado_Receita!$S$2:$S$418,"44621A4GeraçãoNão se aplicaNão se aplicaNão se aplicaNão se aplicaNão se aplica",Mercado_Receita!$J$2:$J$418)+SUMIF(Mercado_Receita!$S$2:$S$418,"44621A4GeraçãoNão se aplicaNão se aplicaAPENão se aplicaNão se aplica",Mercado_Receita!$J$2:$J$418)</f>
        <v>0</v>
      </c>
      <c r="P6" s="13">
        <f>SUMIF(Mercado_Receita!$S$2:$S$418,"44652A4GeraçãoNão se aplicaNão se aplicaNão se aplicaNão se aplicaNão se aplica",Mercado_Receita!$J$2:$J$418)+SUMIF(Mercado_Receita!$S$2:$S$418,"44652A4GeraçãoNão se aplicaNão se aplicaAPENão se aplicaNão se aplica",Mercado_Receita!$J$2:$J$418)</f>
        <v>0</v>
      </c>
      <c r="Q6" s="13">
        <f>SUMIF(Mercado_Receita!$S$2:$S$418,"44682A4GeraçãoNão se aplicaNão se aplicaNão se aplicaNão se aplicaNão se aplica",Mercado_Receita!$J$2:$J$418)+SUMIF(Mercado_Receita!$S$2:$S$418,"44682A4GeraçãoNão se aplicaNão se aplicaAPENão se aplicaNão se aplica",Mercado_Receita!$J$2:$J$418)</f>
        <v>0</v>
      </c>
      <c r="R6" s="13">
        <f>SUMIF(Mercado_Receita!$S$2:$S$418,"44713A4GeraçãoNão se aplicaNão se aplicaNão se aplicaNão se aplicaNão se aplica",Mercado_Receita!$J$2:$J$418)+SUMIF(Mercado_Receita!$S$2:$S$418,"44713A4GeraçãoNão se aplicaNão se aplicaAPENão se aplicaNão se aplica",Mercado_Receita!$J$2:$J$418)</f>
        <v>0</v>
      </c>
      <c r="S6" s="13">
        <f>SUMIF(Mercado_Receita!$S$2:$S$418,"44743A4GeraçãoNão se aplicaNão se aplicaNão se aplicaNão se aplicaNão se aplica",Mercado_Receita!$J$2:$J$418)+SUMIF(Mercado_Receita!$S$2:$S$418,"44743A4GeraçãoNão se aplicaNão se aplicaAPENão se aplicaNão se aplica",Mercado_Receita!$J$2:$J$418)</f>
        <v>0</v>
      </c>
      <c r="T6" s="13">
        <f>SUMIF(Mercado_Receita!$S$2:$S$418,"44774A4GeraçãoNão se aplicaNão se aplicaNão se aplicaNão se aplicaNão se aplica",Mercado_Receita!$J$2:$J$418)+SUMIF(Mercado_Receita!$S$2:$S$418,"44774A4GeraçãoNão se aplicaNão se aplicaAPENão se aplicaNão se aplica",Mercado_Receita!$J$2:$J$418)</f>
        <v>0</v>
      </c>
      <c r="U6" s="13">
        <f t="shared" si="0"/>
        <v>0</v>
      </c>
      <c r="V6" s="13"/>
      <c r="W6" s="13"/>
    </row>
    <row r="7" spans="1:30" ht="11.25" customHeight="1" x14ac:dyDescent="0.3">
      <c r="A7" s="77"/>
      <c r="B7" s="76" t="s">
        <v>38</v>
      </c>
      <c r="C7" s="76" t="s">
        <v>25</v>
      </c>
      <c r="D7" s="76" t="s">
        <v>25</v>
      </c>
      <c r="E7" s="76" t="s">
        <v>25</v>
      </c>
      <c r="F7" s="76" t="s">
        <v>25</v>
      </c>
      <c r="G7" s="13" t="s">
        <v>9</v>
      </c>
      <c r="H7" s="13" t="s">
        <v>75</v>
      </c>
      <c r="I7" s="13">
        <f>SUMIF(Mercado_Receita!$S$2:$S$418,"44440A4VerdeNão se aplicaNão se aplicaNão se aplicaNão se aplicaNão se aplica",Mercado_Receita!$J$2:$J$418)+SUMIF(Mercado_Receita!$S$2:$S$418,"44440A4VerdeNão se aplicaNão se aplicaAPENão se aplicaNão se aplica",Mercado_Receita!$J$2:$J$418)</f>
        <v>1437</v>
      </c>
      <c r="J7" s="13">
        <f>SUMIF(Mercado_Receita!$S$2:$S$418,"44470A4VerdeNão se aplicaNão se aplicaNão se aplicaNão se aplicaNão se aplica",Mercado_Receita!$J$2:$J$418)+SUMIF(Mercado_Receita!$S$2:$S$418,"44470A4VerdeNão se aplicaNão se aplicaAPENão se aplicaNão se aplica",Mercado_Receita!$J$2:$J$418)</f>
        <v>1428</v>
      </c>
      <c r="K7" s="13">
        <f>SUMIF(Mercado_Receita!$S$2:$S$418,"44501A4VerdeNão se aplicaNão se aplicaNão se aplicaNão se aplicaNão se aplica",Mercado_Receita!$J$2:$J$418)+SUMIF(Mercado_Receita!$S$2:$S$418,"44501A4VerdeNão se aplicaNão se aplicaAPENão se aplicaNão se aplica",Mercado_Receita!$J$2:$J$418)</f>
        <v>1472</v>
      </c>
      <c r="L7" s="13">
        <f>SUMIF(Mercado_Receita!$S$2:$S$418,"44531A4VerdeNão se aplicaNão se aplicaNão se aplicaNão se aplicaNão se aplica",Mercado_Receita!$J$2:$J$418)+SUMIF(Mercado_Receita!$S$2:$S$418,"44531A4VerdeNão se aplicaNão se aplicaAPENão se aplicaNão se aplica",Mercado_Receita!$J$2:$J$418)</f>
        <v>1515</v>
      </c>
      <c r="M7" s="13">
        <f>SUMIF(Mercado_Receita!$S$2:$S$418,"44562A4VerdeNão se aplicaNão se aplicaNão se aplicaNão se aplicaNão se aplica",Mercado_Receita!$J$2:$J$418)+SUMIF(Mercado_Receita!$S$2:$S$418,"44562A4VerdeNão se aplicaNão se aplicaAPENão se aplicaNão se aplica",Mercado_Receita!$J$2:$J$418)</f>
        <v>1472</v>
      </c>
      <c r="N7" s="13">
        <f>SUMIF(Mercado_Receita!$S$2:$S$418,"44593A4VerdeNão se aplicaNão se aplicaNão se aplicaNão se aplicaNão se aplica",Mercado_Receita!$J$2:$J$418)+SUMIF(Mercado_Receita!$S$2:$S$418,"44593A4VerdeNão se aplicaNão se aplicaAPENão se aplicaNão se aplica",Mercado_Receita!$J$2:$J$418)</f>
        <v>1474</v>
      </c>
      <c r="O7" s="13">
        <f>SUMIF(Mercado_Receita!$S$2:$S$418,"44621A4VerdeNão se aplicaNão se aplicaNão se aplicaNão se aplicaNão se aplica",Mercado_Receita!$J$2:$J$418)+SUMIF(Mercado_Receita!$S$2:$S$418,"44621A4VerdeNão se aplicaNão se aplicaAPENão se aplicaNão se aplica",Mercado_Receita!$J$2:$J$418)</f>
        <v>1461</v>
      </c>
      <c r="P7" s="13">
        <f>SUMIF(Mercado_Receita!$S$2:$S$418,"44652A4VerdeNão se aplicaNão se aplicaNão se aplicaNão se aplicaNão se aplica",Mercado_Receita!$J$2:$J$418)+SUMIF(Mercado_Receita!$S$2:$S$418,"44652A4VerdeNão se aplicaNão se aplicaAPENão se aplicaNão se aplica",Mercado_Receita!$J$2:$J$418)</f>
        <v>1503</v>
      </c>
      <c r="Q7" s="13">
        <f>SUMIF(Mercado_Receita!$S$2:$S$418,"44682A4VerdeNão se aplicaNão se aplicaNão se aplicaNão se aplicaNão se aplica",Mercado_Receita!$J$2:$J$418)+SUMIF(Mercado_Receita!$S$2:$S$418,"44682A4VerdeNão se aplicaNão se aplicaAPENão se aplicaNão se aplica",Mercado_Receita!$J$2:$J$418)</f>
        <v>1696</v>
      </c>
      <c r="R7" s="13">
        <f>SUMIF(Mercado_Receita!$S$2:$S$418,"44713A4VerdeNão se aplicaNão se aplicaNão se aplicaNão se aplicaNão se aplica",Mercado_Receita!$J$2:$J$418)+SUMIF(Mercado_Receita!$S$2:$S$418,"44713A4VerdeNão se aplicaNão se aplicaAPENão se aplicaNão se aplica",Mercado_Receita!$J$2:$J$418)</f>
        <v>1464</v>
      </c>
      <c r="S7" s="13">
        <f>SUMIF(Mercado_Receita!$S$2:$S$418,"44743A4VerdeNão se aplicaNão se aplicaNão se aplicaNão se aplicaNão se aplica",Mercado_Receita!$J$2:$J$418)+SUMIF(Mercado_Receita!$S$2:$S$418,"44743A4VerdeNão se aplicaNão se aplicaAPENão se aplicaNão se aplica",Mercado_Receita!$J$2:$J$418)</f>
        <v>1582</v>
      </c>
      <c r="T7" s="13">
        <f>SUMIF(Mercado_Receita!$S$2:$S$418,"44774A4VerdeNão se aplicaNão se aplicaNão se aplicaNão se aplicaNão se aplica",Mercado_Receita!$J$2:$J$418)+SUMIF(Mercado_Receita!$S$2:$S$418,"44774A4VerdeNão se aplicaNão se aplicaAPENão se aplicaNão se aplica",Mercado_Receita!$J$2:$J$418)</f>
        <v>1501</v>
      </c>
      <c r="U7" s="13">
        <f t="shared" si="0"/>
        <v>18005</v>
      </c>
      <c r="V7" s="13"/>
      <c r="W7" s="13"/>
    </row>
    <row r="8" spans="1:30" ht="11.25" customHeight="1" x14ac:dyDescent="0.3">
      <c r="A8" s="77"/>
      <c r="B8" s="77"/>
      <c r="C8" s="77"/>
      <c r="D8" s="77"/>
      <c r="E8" s="77"/>
      <c r="F8" s="77"/>
      <c r="G8" s="13" t="s">
        <v>71</v>
      </c>
      <c r="H8" s="13" t="s">
        <v>70</v>
      </c>
      <c r="I8" s="13">
        <f>SUMIF(Mercado_Receita!$S$2:$S$418,"44440A4VerdeNão se aplicaNão se aplicaNão se aplicaNão se aplicaPonta",Mercado_Receita!$L$2:$L$418)</f>
        <v>16.934000000000001</v>
      </c>
      <c r="J8" s="13">
        <f>SUMIF(Mercado_Receita!$S$2:$S$418,"44470A4VerdeNão se aplicaNão se aplicaNão se aplicaNão se aplicaPonta",Mercado_Receita!$L$2:$L$418)</f>
        <v>8.0839999999999996</v>
      </c>
      <c r="K8" s="13">
        <f>SUMIF(Mercado_Receita!$S$2:$S$418,"44501A4VerdeNão se aplicaNão se aplicaNão se aplicaNão se aplicaPonta",Mercado_Receita!$L$2:$L$418)</f>
        <v>15.062999999999999</v>
      </c>
      <c r="L8" s="13">
        <f>SUMIF(Mercado_Receita!$S$2:$S$418,"44531A4VerdeNão se aplicaNão se aplicaNão se aplicaNão se aplicaPonta",Mercado_Receita!$L$2:$L$418)</f>
        <v>10.242999999999999</v>
      </c>
      <c r="M8" s="13">
        <f>SUMIF(Mercado_Receita!$S$2:$S$418,"44562A4VerdeNão se aplicaNão se aplicaNão se aplicaNão se aplicaPonta",Mercado_Receita!$L$2:$L$418)</f>
        <v>8.8179999999999996</v>
      </c>
      <c r="N8" s="13">
        <f>SUMIF(Mercado_Receita!$S$2:$S$418,"44593A4VerdeNão se aplicaNão se aplicaNão se aplicaNão se aplicaPonta",Mercado_Receita!$L$2:$L$418)</f>
        <v>9.0839999999999996</v>
      </c>
      <c r="O8" s="13">
        <f>SUMIF(Mercado_Receita!$S$2:$S$418,"44621A4VerdeNão se aplicaNão se aplicaNão se aplicaNão se aplicaPonta",Mercado_Receita!$L$2:$L$418)</f>
        <v>7.9980000000000002</v>
      </c>
      <c r="P8" s="13">
        <f>SUMIF(Mercado_Receita!$S$2:$S$418,"44652A4VerdeNão se aplicaNão se aplicaNão se aplicaNão se aplicaPonta",Mercado_Receita!$L$2:$L$418)</f>
        <v>8.8320000000000007</v>
      </c>
      <c r="Q8" s="13">
        <f>SUMIF(Mercado_Receita!$S$2:$S$418,"44682A4VerdeNão se aplicaNão se aplicaNão se aplicaNão se aplicaPonta",Mercado_Receita!$L$2:$L$418)</f>
        <v>7.5459999999999994</v>
      </c>
      <c r="R8" s="13">
        <f>SUMIF(Mercado_Receita!$S$2:$S$418,"44713A4VerdeNão se aplicaNão se aplicaNão se aplicaNão se aplicaPonta",Mercado_Receita!$L$2:$L$418)</f>
        <v>5.6980000000000004</v>
      </c>
      <c r="S8" s="13">
        <f>SUMIF(Mercado_Receita!$S$2:$S$418,"44743A4VerdeNão se aplicaNão se aplicaNão se aplicaNão se aplicaPonta",Mercado_Receita!$L$2:$L$418)</f>
        <v>17.716000000000001</v>
      </c>
      <c r="T8" s="13">
        <f>SUMIF(Mercado_Receita!$S$2:$S$418,"44774A4VerdeNão se aplicaNão se aplicaNão se aplicaNão se aplicaPonta",Mercado_Receita!$L$2:$L$418)</f>
        <v>10.047999999999998</v>
      </c>
      <c r="U8" s="13">
        <f t="shared" si="0"/>
        <v>126.06400000000002</v>
      </c>
      <c r="V8" s="13"/>
      <c r="W8" s="13"/>
    </row>
    <row r="9" spans="1:30" ht="11.25" customHeight="1" x14ac:dyDescent="0.3">
      <c r="A9" s="77"/>
      <c r="B9" s="77"/>
      <c r="C9" s="77"/>
      <c r="D9" s="77"/>
      <c r="E9" s="77"/>
      <c r="F9" s="77"/>
      <c r="G9" s="13" t="s">
        <v>72</v>
      </c>
      <c r="H9" s="13" t="s">
        <v>70</v>
      </c>
      <c r="I9" s="13">
        <f>SUMIF(Mercado_Receita!$S$2:$S$418,"44440A4VerdeNão se aplicaNão se aplicaNão se aplicaNão se aplicaFora ponta",Mercado_Receita!$L$2:$L$418)</f>
        <v>403.73099999999999</v>
      </c>
      <c r="J9" s="13">
        <f>SUMIF(Mercado_Receita!$S$2:$S$418,"44470A4VerdeNão se aplicaNão se aplicaNão se aplicaNão se aplicaFora ponta",Mercado_Receita!$L$2:$L$418)</f>
        <v>371.25099999999998</v>
      </c>
      <c r="K9" s="13">
        <f>SUMIF(Mercado_Receita!$S$2:$S$418,"44501A4VerdeNão se aplicaNão se aplicaNão se aplicaNão se aplicaFora ponta",Mercado_Receita!$L$2:$L$418)</f>
        <v>398.96</v>
      </c>
      <c r="L9" s="13">
        <f>SUMIF(Mercado_Receita!$S$2:$S$418,"44531A4VerdeNão se aplicaNão se aplicaNão se aplicaNão se aplicaFora ponta",Mercado_Receita!$L$2:$L$418)</f>
        <v>378.32900000000001</v>
      </c>
      <c r="M9" s="13">
        <f>SUMIF(Mercado_Receita!$S$2:$S$418,"44562A4VerdeNão se aplicaNão se aplicaNão se aplicaNão se aplicaFora ponta",Mercado_Receita!$L$2:$L$418)</f>
        <v>355.02000000000004</v>
      </c>
      <c r="N9" s="13">
        <f>SUMIF(Mercado_Receita!$S$2:$S$418,"44593A4VerdeNão se aplicaNão se aplicaNão se aplicaNão se aplicaFora ponta",Mercado_Receita!$L$2:$L$418)</f>
        <v>348.98099999999999</v>
      </c>
      <c r="O9" s="13">
        <f>SUMIF(Mercado_Receita!$S$2:$S$418,"44621A4VerdeNão se aplicaNão se aplicaNão se aplicaNão se aplicaFora ponta",Mercado_Receita!$L$2:$L$418)</f>
        <v>387.59699999999998</v>
      </c>
      <c r="P9" s="13">
        <f>SUMIF(Mercado_Receita!$S$2:$S$418,"44652A4VerdeNão se aplicaNão se aplicaNão se aplicaNão se aplicaFora ponta",Mercado_Receita!$L$2:$L$418)</f>
        <v>429.61699999999996</v>
      </c>
      <c r="Q9" s="13">
        <f>SUMIF(Mercado_Receita!$S$2:$S$418,"44682A4VerdeNão se aplicaNão se aplicaNão se aplicaNão se aplicaFora ponta",Mercado_Receita!$L$2:$L$418)</f>
        <v>440.44099999999997</v>
      </c>
      <c r="R9" s="13">
        <f>SUMIF(Mercado_Receita!$S$2:$S$418,"44713A4VerdeNão se aplicaNão se aplicaNão se aplicaNão se aplicaFora ponta",Mercado_Receita!$L$2:$L$418)</f>
        <v>364.91999999999996</v>
      </c>
      <c r="S9" s="13">
        <f>SUMIF(Mercado_Receita!$S$2:$S$418,"44743A4VerdeNão se aplicaNão se aplicaNão se aplicaNão se aplicaFora ponta",Mercado_Receita!$L$2:$L$418)</f>
        <v>470.98400000000004</v>
      </c>
      <c r="T9" s="13">
        <f>SUMIF(Mercado_Receita!$S$2:$S$418,"44774A4VerdeNão se aplicaNão se aplicaNão se aplicaNão se aplicaFora ponta",Mercado_Receita!$L$2:$L$418)</f>
        <v>459.84300000000002</v>
      </c>
      <c r="U9" s="13">
        <f t="shared" si="0"/>
        <v>4809.674</v>
      </c>
      <c r="V9" s="13"/>
      <c r="W9" s="13"/>
    </row>
    <row r="10" spans="1:30" ht="11.25" customHeight="1" x14ac:dyDescent="0.3">
      <c r="A10" s="77"/>
      <c r="B10" s="77"/>
      <c r="C10" s="77"/>
      <c r="D10" s="77"/>
      <c r="E10" s="76" t="s">
        <v>78</v>
      </c>
      <c r="F10" s="76" t="s">
        <v>25</v>
      </c>
      <c r="G10" s="13" t="s">
        <v>71</v>
      </c>
      <c r="H10" s="13" t="s">
        <v>70</v>
      </c>
      <c r="I10" s="13">
        <f>SUMIF(Mercado_Receita!$S$2:$S$418,"44440A4VerdeNão se aplicaNão se aplicaAPENão se aplicaPonta",Mercado_Receita!$L$2:$L$418)</f>
        <v>0</v>
      </c>
      <c r="J10" s="13">
        <f>SUMIF(Mercado_Receita!$S$2:$S$418,"44470A4VerdeNão se aplicaNão se aplicaAPENão se aplicaPonta",Mercado_Receita!$L$2:$L$418)</f>
        <v>0</v>
      </c>
      <c r="K10" s="13">
        <f>SUMIF(Mercado_Receita!$S$2:$S$418,"44501A4VerdeNão se aplicaNão se aplicaAPENão se aplicaPonta",Mercado_Receita!$L$2:$L$418)</f>
        <v>0</v>
      </c>
      <c r="L10" s="13">
        <f>SUMIF(Mercado_Receita!$S$2:$S$418,"44531A4VerdeNão se aplicaNão se aplicaAPENão se aplicaPonta",Mercado_Receita!$L$2:$L$418)</f>
        <v>0</v>
      </c>
      <c r="M10" s="13">
        <f>SUMIF(Mercado_Receita!$S$2:$S$418,"44562A4VerdeNão se aplicaNão se aplicaAPENão se aplicaPonta",Mercado_Receita!$L$2:$L$418)</f>
        <v>0</v>
      </c>
      <c r="N10" s="13">
        <f>SUMIF(Mercado_Receita!$S$2:$S$418,"44593A4VerdeNão se aplicaNão se aplicaAPENão se aplicaPonta",Mercado_Receita!$L$2:$L$418)</f>
        <v>0</v>
      </c>
      <c r="O10" s="13">
        <f>SUMIF(Mercado_Receita!$S$2:$S$418,"44621A4VerdeNão se aplicaNão se aplicaAPENão se aplicaPonta",Mercado_Receita!$L$2:$L$418)</f>
        <v>0</v>
      </c>
      <c r="P10" s="13">
        <f>SUMIF(Mercado_Receita!$S$2:$S$418,"44652A4VerdeNão se aplicaNão se aplicaAPENão se aplicaPonta",Mercado_Receita!$L$2:$L$418)</f>
        <v>0</v>
      </c>
      <c r="Q10" s="13">
        <f>SUMIF(Mercado_Receita!$S$2:$S$418,"44682A4VerdeNão se aplicaNão se aplicaAPENão se aplicaPonta",Mercado_Receita!$L$2:$L$418)</f>
        <v>0</v>
      </c>
      <c r="R10" s="13">
        <f>SUMIF(Mercado_Receita!$S$2:$S$418,"44713A4VerdeNão se aplicaNão se aplicaAPENão se aplicaPonta",Mercado_Receita!$L$2:$L$418)</f>
        <v>0</v>
      </c>
      <c r="S10" s="13">
        <f>SUMIF(Mercado_Receita!$S$2:$S$418,"44743A4VerdeNão se aplicaNão se aplicaAPENão se aplicaPonta",Mercado_Receita!$L$2:$L$418)</f>
        <v>0</v>
      </c>
      <c r="T10" s="13">
        <f>SUMIF(Mercado_Receita!$S$2:$S$418,"44774A4VerdeNão se aplicaNão se aplicaAPENão se aplicaPonta",Mercado_Receita!$L$2:$L$418)</f>
        <v>0</v>
      </c>
      <c r="U10" s="13">
        <f t="shared" si="0"/>
        <v>0</v>
      </c>
      <c r="V10" s="13"/>
      <c r="W10" s="13"/>
    </row>
    <row r="11" spans="1:30" ht="11.25" customHeight="1" x14ac:dyDescent="0.3">
      <c r="A11" s="77"/>
      <c r="B11" s="77"/>
      <c r="C11" s="77"/>
      <c r="D11" s="77"/>
      <c r="E11" s="77"/>
      <c r="F11" s="77"/>
      <c r="G11" s="13" t="s">
        <v>72</v>
      </c>
      <c r="H11" s="13" t="s">
        <v>70</v>
      </c>
      <c r="I11" s="13">
        <f>SUMIF(Mercado_Receita!$S$2:$S$418,"44440A4VerdeNão se aplicaNão se aplicaAPENão se aplicaFora ponta",Mercado_Receita!$L$2:$L$418)</f>
        <v>0</v>
      </c>
      <c r="J11" s="13">
        <f>SUMIF(Mercado_Receita!$S$2:$S$418,"44470A4VerdeNão se aplicaNão se aplicaAPENão se aplicaFora ponta",Mercado_Receita!$L$2:$L$418)</f>
        <v>0</v>
      </c>
      <c r="K11" s="13">
        <f>SUMIF(Mercado_Receita!$S$2:$S$418,"44501A4VerdeNão se aplicaNão se aplicaAPENão se aplicaFora ponta",Mercado_Receita!$L$2:$L$418)</f>
        <v>0</v>
      </c>
      <c r="L11" s="13">
        <f>SUMIF(Mercado_Receita!$S$2:$S$418,"44531A4VerdeNão se aplicaNão se aplicaAPENão se aplicaFora ponta",Mercado_Receita!$L$2:$L$418)</f>
        <v>0</v>
      </c>
      <c r="M11" s="13">
        <f>SUMIF(Mercado_Receita!$S$2:$S$418,"44562A4VerdeNão se aplicaNão se aplicaAPENão se aplicaFora ponta",Mercado_Receita!$L$2:$L$418)</f>
        <v>0</v>
      </c>
      <c r="N11" s="13">
        <f>SUMIF(Mercado_Receita!$S$2:$S$418,"44593A4VerdeNão se aplicaNão se aplicaAPENão se aplicaFora ponta",Mercado_Receita!$L$2:$L$418)</f>
        <v>0</v>
      </c>
      <c r="O11" s="13">
        <f>SUMIF(Mercado_Receita!$S$2:$S$418,"44621A4VerdeNão se aplicaNão se aplicaAPENão se aplicaFora ponta",Mercado_Receita!$L$2:$L$418)</f>
        <v>0</v>
      </c>
      <c r="P11" s="13">
        <f>SUMIF(Mercado_Receita!$S$2:$S$418,"44652A4VerdeNão se aplicaNão se aplicaAPENão se aplicaFora ponta",Mercado_Receita!$L$2:$L$418)</f>
        <v>0</v>
      </c>
      <c r="Q11" s="13">
        <f>SUMIF(Mercado_Receita!$S$2:$S$418,"44682A4VerdeNão se aplicaNão se aplicaAPENão se aplicaFora ponta",Mercado_Receita!$L$2:$L$418)</f>
        <v>0</v>
      </c>
      <c r="R11" s="13">
        <f>SUMIF(Mercado_Receita!$S$2:$S$418,"44713A4VerdeNão se aplicaNão se aplicaAPENão se aplicaFora ponta",Mercado_Receita!$L$2:$L$418)</f>
        <v>0</v>
      </c>
      <c r="S11" s="13">
        <f>SUMIF(Mercado_Receita!$S$2:$S$418,"44743A4VerdeNão se aplicaNão se aplicaAPENão se aplicaFora ponta",Mercado_Receita!$L$2:$L$418)</f>
        <v>0</v>
      </c>
      <c r="T11" s="13">
        <f>SUMIF(Mercado_Receita!$S$2:$S$418,"44774A4VerdeNão se aplicaNão se aplicaAPENão se aplicaFora ponta",Mercado_Receita!$L$2:$L$418)</f>
        <v>0</v>
      </c>
      <c r="U11" s="13">
        <f t="shared" si="0"/>
        <v>0</v>
      </c>
      <c r="V11" s="13"/>
      <c r="W11" s="13"/>
    </row>
    <row r="12" spans="1:30" ht="11.25" customHeight="1" x14ac:dyDescent="0.3">
      <c r="A12" s="76" t="s">
        <v>80</v>
      </c>
      <c r="B12" s="76" t="s">
        <v>79</v>
      </c>
      <c r="C12" s="76" t="s">
        <v>25</v>
      </c>
      <c r="D12" s="76" t="s">
        <v>25</v>
      </c>
      <c r="E12" s="12" t="s">
        <v>81</v>
      </c>
      <c r="F12" s="12" t="s">
        <v>25</v>
      </c>
      <c r="G12" s="13" t="s">
        <v>9</v>
      </c>
      <c r="H12" s="13" t="s">
        <v>75</v>
      </c>
      <c r="I12" s="13">
        <f>SUMIF(Mercado_Receita!$S$2:$S$418,"44440BGeraçãoNão se aplicaNão se aplicaTIPO 01Não se aplicaNão se aplica",Mercado_Receita!$J$2:$J$418)+SUMIF(Mercado_Receita!$S$2:$S$418,"44440BGeraçãoNão se aplicaNão se aplicaAPENão se aplicaNão se aplica",Mercado_Receita!$J$2:$J$418)</f>
        <v>0</v>
      </c>
      <c r="J12" s="13">
        <f>SUMIF(Mercado_Receita!$S$2:$S$418,"44470BGeraçãoNão se aplicaNão se aplicaTIPO 01Não se aplicaNão se aplica",Mercado_Receita!$J$2:$J$418)+SUMIF(Mercado_Receita!$S$2:$S$418,"44470BGeraçãoNão se aplicaNão se aplicaAPENão se aplicaNão se aplica",Mercado_Receita!$J$2:$J$418)</f>
        <v>0</v>
      </c>
      <c r="K12" s="13">
        <f>SUMIF(Mercado_Receita!$S$2:$S$418,"44501BGeraçãoNão se aplicaNão se aplicaTIPO 01Não se aplicaNão se aplica",Mercado_Receita!$J$2:$J$418)+SUMIF(Mercado_Receita!$S$2:$S$418,"44501BGeraçãoNão se aplicaNão se aplicaAPENão se aplicaNão se aplica",Mercado_Receita!$J$2:$J$418)</f>
        <v>0</v>
      </c>
      <c r="L12" s="13">
        <f>SUMIF(Mercado_Receita!$S$2:$S$418,"44531BGeraçãoNão se aplicaNão se aplicaTIPO 01Não se aplicaNão se aplica",Mercado_Receita!$J$2:$J$418)+SUMIF(Mercado_Receita!$S$2:$S$418,"44531BGeraçãoNão se aplicaNão se aplicaAPENão se aplicaNão se aplica",Mercado_Receita!$J$2:$J$418)</f>
        <v>0</v>
      </c>
      <c r="M12" s="13">
        <f>SUMIF(Mercado_Receita!$S$2:$S$418,"44562BGeraçãoNão se aplicaNão se aplicaTIPO 01Não se aplicaNão se aplica",Mercado_Receita!$J$2:$J$418)+SUMIF(Mercado_Receita!$S$2:$S$418,"44562BGeraçãoNão se aplicaNão se aplicaAPENão se aplicaNão se aplica",Mercado_Receita!$J$2:$J$418)</f>
        <v>0</v>
      </c>
      <c r="N12" s="13">
        <f>SUMIF(Mercado_Receita!$S$2:$S$418,"44593BGeraçãoNão se aplicaNão se aplicaTIPO 01Não se aplicaNão se aplica",Mercado_Receita!$J$2:$J$418)+SUMIF(Mercado_Receita!$S$2:$S$418,"44593BGeraçãoNão se aplicaNão se aplicaAPENão se aplicaNão se aplica",Mercado_Receita!$J$2:$J$418)</f>
        <v>0</v>
      </c>
      <c r="O12" s="13">
        <f>SUMIF(Mercado_Receita!$S$2:$S$418,"44621BGeraçãoNão se aplicaNão se aplicaTIPO 01Não se aplicaNão se aplica",Mercado_Receita!$J$2:$J$418)+SUMIF(Mercado_Receita!$S$2:$S$418,"44621BGeraçãoNão se aplicaNão se aplicaAPENão se aplicaNão se aplica",Mercado_Receita!$J$2:$J$418)</f>
        <v>0</v>
      </c>
      <c r="P12" s="13">
        <f>SUMIF(Mercado_Receita!$S$2:$S$418,"44652BGeraçãoNão se aplicaNão se aplicaTIPO 01Não se aplicaNão se aplica",Mercado_Receita!$J$2:$J$418)+SUMIF(Mercado_Receita!$S$2:$S$418,"44652BGeraçãoNão se aplicaNão se aplicaAPENão se aplicaNão se aplica",Mercado_Receita!$J$2:$J$418)</f>
        <v>0</v>
      </c>
      <c r="Q12" s="13">
        <f>SUMIF(Mercado_Receita!$S$2:$S$418,"44682BGeraçãoNão se aplicaNão se aplicaTIPO 01Não se aplicaNão se aplica",Mercado_Receita!$J$2:$J$418)+SUMIF(Mercado_Receita!$S$2:$S$418,"44682BGeraçãoNão se aplicaNão se aplicaAPENão se aplicaNão se aplica",Mercado_Receita!$J$2:$J$418)</f>
        <v>0</v>
      </c>
      <c r="R12" s="13">
        <f>SUMIF(Mercado_Receita!$S$2:$S$418,"44713BGeraçãoNão se aplicaNão se aplicaTIPO 01Não se aplicaNão se aplica",Mercado_Receita!$J$2:$J$418)+SUMIF(Mercado_Receita!$S$2:$S$418,"44713BGeraçãoNão se aplicaNão se aplicaAPENão se aplicaNão se aplica",Mercado_Receita!$J$2:$J$418)</f>
        <v>0</v>
      </c>
      <c r="S12" s="13">
        <f>SUMIF(Mercado_Receita!$S$2:$S$418,"44743BGeraçãoNão se aplicaNão se aplicaTIPO 01Não se aplicaNão se aplica",Mercado_Receita!$J$2:$J$418)+SUMIF(Mercado_Receita!$S$2:$S$418,"44743BGeraçãoNão se aplicaNão se aplicaAPENão se aplicaNão se aplica",Mercado_Receita!$J$2:$J$418)</f>
        <v>0</v>
      </c>
      <c r="T12" s="13">
        <f>SUMIF(Mercado_Receita!$S$2:$S$418,"44774BGeraçãoNão se aplicaNão se aplicaTIPO 01Não se aplicaNão se aplica",Mercado_Receita!$J$2:$J$418)+SUMIF(Mercado_Receita!$S$2:$S$418,"44774BGeraçãoNão se aplicaNão se aplicaAPENão se aplicaNão se aplica",Mercado_Receita!$J$2:$J$418)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77"/>
      <c r="B13" s="77"/>
      <c r="C13" s="77"/>
      <c r="D13" s="77"/>
      <c r="E13" s="12" t="s">
        <v>82</v>
      </c>
      <c r="F13" s="12" t="s">
        <v>25</v>
      </c>
      <c r="G13" s="13" t="s">
        <v>9</v>
      </c>
      <c r="H13" s="13" t="s">
        <v>75</v>
      </c>
      <c r="I13" s="13">
        <f>SUMIF(Mercado_Receita!$S$2:$S$418,"44440BGeraçãoNão se aplicaNão se aplicaTIPO 02Não se aplicaNão se aplica",Mercado_Receita!$J$2:$J$418)+SUMIF(Mercado_Receita!$S$2:$S$418,"44440BGeraçãoNão se aplicaNão se aplicaAPENão se aplicaNão se aplica",Mercado_Receita!$J$2:$J$418)</f>
        <v>0</v>
      </c>
      <c r="J13" s="13">
        <f>SUMIF(Mercado_Receita!$S$2:$S$418,"44470BGeraçãoNão se aplicaNão se aplicaTIPO 02Não se aplicaNão se aplica",Mercado_Receita!$J$2:$J$418)+SUMIF(Mercado_Receita!$S$2:$S$418,"44470BGeraçãoNão se aplicaNão se aplicaAPENão se aplicaNão se aplica",Mercado_Receita!$J$2:$J$418)</f>
        <v>0</v>
      </c>
      <c r="K13" s="13">
        <f>SUMIF(Mercado_Receita!$S$2:$S$418,"44501BGeraçãoNão se aplicaNão se aplicaTIPO 02Não se aplicaNão se aplica",Mercado_Receita!$J$2:$J$418)+SUMIF(Mercado_Receita!$S$2:$S$418,"44501BGeraçãoNão se aplicaNão se aplicaAPENão se aplicaNão se aplica",Mercado_Receita!$J$2:$J$418)</f>
        <v>0</v>
      </c>
      <c r="L13" s="13">
        <f>SUMIF(Mercado_Receita!$S$2:$S$418,"44531BGeraçãoNão se aplicaNão se aplicaTIPO 02Não se aplicaNão se aplica",Mercado_Receita!$J$2:$J$418)+SUMIF(Mercado_Receita!$S$2:$S$418,"44531BGeraçãoNão se aplicaNão se aplicaAPENão se aplicaNão se aplica",Mercado_Receita!$J$2:$J$418)</f>
        <v>0</v>
      </c>
      <c r="M13" s="13">
        <f>SUMIF(Mercado_Receita!$S$2:$S$418,"44562BGeraçãoNão se aplicaNão se aplicaTIPO 02Não se aplicaNão se aplica",Mercado_Receita!$J$2:$J$418)+SUMIF(Mercado_Receita!$S$2:$S$418,"44562BGeraçãoNão se aplicaNão se aplicaAPENão se aplicaNão se aplica",Mercado_Receita!$J$2:$J$418)</f>
        <v>0</v>
      </c>
      <c r="N13" s="13">
        <f>SUMIF(Mercado_Receita!$S$2:$S$418,"44593BGeraçãoNão se aplicaNão se aplicaTIPO 02Não se aplicaNão se aplica",Mercado_Receita!$J$2:$J$418)+SUMIF(Mercado_Receita!$S$2:$S$418,"44593BGeraçãoNão se aplicaNão se aplicaAPENão se aplicaNão se aplica",Mercado_Receita!$J$2:$J$418)</f>
        <v>0</v>
      </c>
      <c r="O13" s="13">
        <f>SUMIF(Mercado_Receita!$S$2:$S$418,"44621BGeraçãoNão se aplicaNão se aplicaTIPO 02Não se aplicaNão se aplica",Mercado_Receita!$J$2:$J$418)+SUMIF(Mercado_Receita!$S$2:$S$418,"44621BGeraçãoNão se aplicaNão se aplicaAPENão se aplicaNão se aplica",Mercado_Receita!$J$2:$J$418)</f>
        <v>0</v>
      </c>
      <c r="P13" s="13">
        <f>SUMIF(Mercado_Receita!$S$2:$S$418,"44652BGeraçãoNão se aplicaNão se aplicaTIPO 02Não se aplicaNão se aplica",Mercado_Receita!$J$2:$J$418)+SUMIF(Mercado_Receita!$S$2:$S$418,"44652BGeraçãoNão se aplicaNão se aplicaAPENão se aplicaNão se aplica",Mercado_Receita!$J$2:$J$418)</f>
        <v>0</v>
      </c>
      <c r="Q13" s="13">
        <f>SUMIF(Mercado_Receita!$S$2:$S$418,"44682BGeraçãoNão se aplicaNão se aplicaTIPO 02Não se aplicaNão se aplica",Mercado_Receita!$J$2:$J$418)+SUMIF(Mercado_Receita!$S$2:$S$418,"44682BGeraçãoNão se aplicaNão se aplicaAPENão se aplicaNão se aplica",Mercado_Receita!$J$2:$J$418)</f>
        <v>0</v>
      </c>
      <c r="R13" s="13">
        <f>SUMIF(Mercado_Receita!$S$2:$S$418,"44713BGeraçãoNão se aplicaNão se aplicaTIPO 02Não se aplicaNão se aplica",Mercado_Receita!$J$2:$J$418)+SUMIF(Mercado_Receita!$S$2:$S$418,"44713BGeraçãoNão se aplicaNão se aplicaAPENão se aplicaNão se aplica",Mercado_Receita!$J$2:$J$418)</f>
        <v>0</v>
      </c>
      <c r="S13" s="13">
        <f>SUMIF(Mercado_Receita!$S$2:$S$418,"44743BGeraçãoNão se aplicaNão se aplicaTIPO 02Não se aplicaNão se aplica",Mercado_Receita!$J$2:$J$418)+SUMIF(Mercado_Receita!$S$2:$S$418,"44743BGeraçãoNão se aplicaNão se aplicaAPENão se aplicaNão se aplica",Mercado_Receita!$J$2:$J$418)</f>
        <v>0</v>
      </c>
      <c r="T13" s="13">
        <f>SUMIF(Mercado_Receita!$S$2:$S$418,"44774BGeraçãoNão se aplicaNão se aplicaTIPO 02Não se aplicaNão se aplica",Mercado_Receita!$J$2:$J$418)+SUMIF(Mercado_Receita!$S$2:$S$418,"44774BGeraçãoNão se aplicaNão se aplicaAPENão se aplicaNão se aplica",Mercado_Receita!$J$2:$J$418)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76" t="s">
        <v>22</v>
      </c>
      <c r="B14" s="76" t="s">
        <v>33</v>
      </c>
      <c r="C14" s="76" t="s">
        <v>24</v>
      </c>
      <c r="D14" s="76" t="s">
        <v>24</v>
      </c>
      <c r="E14" s="76" t="s">
        <v>25</v>
      </c>
      <c r="F14" s="76" t="s">
        <v>25</v>
      </c>
      <c r="G14" s="13" t="s">
        <v>71</v>
      </c>
      <c r="H14" s="13" t="s">
        <v>70</v>
      </c>
      <c r="I14" s="13">
        <f>SUMIF(Mercado_Receita!$S$2:$S$418,"44440B1BrancaResidencialResidencialNão se aplicaNão se aplicaPonta",Mercado_Receita!$L$2:$L$418)</f>
        <v>0</v>
      </c>
      <c r="J14" s="13">
        <f>SUMIF(Mercado_Receita!$S$2:$S$418,"44470B1BrancaResidencialResidencialNão se aplicaNão se aplicaPonta",Mercado_Receita!$L$2:$L$418)</f>
        <v>6.6000000000000003E-2</v>
      </c>
      <c r="K14" s="13">
        <f>SUMIF(Mercado_Receita!$S$2:$S$418,"44501B1BrancaResidencialResidencialNão se aplicaNão se aplicaPonta",Mercado_Receita!$L$2:$L$418)</f>
        <v>3.3000000000000002E-2</v>
      </c>
      <c r="L14" s="13">
        <f>SUMIF(Mercado_Receita!$S$2:$S$418,"44531B1BrancaResidencialResidencialNão se aplicaNão se aplicaPonta",Mercado_Receita!$L$2:$L$418)</f>
        <v>4.5999999999999999E-2</v>
      </c>
      <c r="M14" s="13">
        <f>SUMIF(Mercado_Receita!$S$2:$S$418,"44562B1BrancaResidencialResidencialNão se aplicaNão se aplicaPonta",Mercado_Receita!$L$2:$L$418)</f>
        <v>6.8000000000000005E-2</v>
      </c>
      <c r="N14" s="13">
        <f>SUMIF(Mercado_Receita!$S$2:$S$418,"44593B1BrancaResidencialResidencialNão se aplicaNão se aplicaPonta",Mercado_Receita!$L$2:$L$418)</f>
        <v>3.4000000000000002E-2</v>
      </c>
      <c r="O14" s="13">
        <f>SUMIF(Mercado_Receita!$S$2:$S$418,"44621B1BrancaResidencialResidencialNão se aplicaNão se aplicaPonta",Mercado_Receita!$L$2:$L$418)</f>
        <v>1.7999999999999999E-2</v>
      </c>
      <c r="P14" s="13">
        <f>SUMIF(Mercado_Receita!$S$2:$S$418,"44652B1BrancaResidencialResidencialNão se aplicaNão se aplicaPonta",Mercado_Receita!$L$2:$L$418)</f>
        <v>6.5000000000000002E-2</v>
      </c>
      <c r="Q14" s="13">
        <f>SUMIF(Mercado_Receita!$S$2:$S$418,"44682B1BrancaResidencialResidencialNão se aplicaNão se aplicaPonta",Mercado_Receita!$L$2:$L$418)</f>
        <v>9.6000000000000002E-2</v>
      </c>
      <c r="R14" s="13">
        <f>SUMIF(Mercado_Receita!$S$2:$S$418,"44713B1BrancaResidencialResidencialNão se aplicaNão se aplicaPonta",Mercado_Receita!$L$2:$L$418)</f>
        <v>8.4000000000000005E-2</v>
      </c>
      <c r="S14" s="13">
        <f>SUMIF(Mercado_Receita!$S$2:$S$418,"44743B1BrancaResidencialResidencialNão se aplicaNão se aplicaPonta",Mercado_Receita!$L$2:$L$418)</f>
        <v>8.4000000000000005E-2</v>
      </c>
      <c r="T14" s="13">
        <f>SUMIF(Mercado_Receita!$S$2:$S$418,"44774B1BrancaResidencialResidencialNão se aplicaNão se aplicaPonta",Mercado_Receita!$L$2:$L$418)</f>
        <v>7.3999999999999996E-2</v>
      </c>
      <c r="U14" s="13">
        <f t="shared" si="0"/>
        <v>0.66799999999999993</v>
      </c>
      <c r="V14" s="13"/>
      <c r="W14" s="13"/>
    </row>
    <row r="15" spans="1:30" ht="11.25" customHeight="1" x14ac:dyDescent="0.3">
      <c r="A15" s="77"/>
      <c r="B15" s="77"/>
      <c r="C15" s="77"/>
      <c r="D15" s="77"/>
      <c r="E15" s="77"/>
      <c r="F15" s="77"/>
      <c r="G15" s="13" t="s">
        <v>83</v>
      </c>
      <c r="H15" s="13" t="s">
        <v>70</v>
      </c>
      <c r="I15" s="13">
        <f>SUMIF(Mercado_Receita!$S$2:$S$418,"44440B1BrancaResidencialResidencialNão se aplicaNão se aplicaIntermediário",Mercado_Receita!$L$2:$L$418)</f>
        <v>0</v>
      </c>
      <c r="J15" s="13">
        <f>SUMIF(Mercado_Receita!$S$2:$S$418,"44470B1BrancaResidencialResidencialNão se aplicaNão se aplicaIntermediário",Mercado_Receita!$L$2:$L$418)</f>
        <v>0.04</v>
      </c>
      <c r="K15" s="13">
        <f>SUMIF(Mercado_Receita!$S$2:$S$418,"44501B1BrancaResidencialResidencialNão se aplicaNão se aplicaIntermediário",Mercado_Receita!$L$2:$L$418)</f>
        <v>2.7E-2</v>
      </c>
      <c r="L15" s="13">
        <f>SUMIF(Mercado_Receita!$S$2:$S$418,"44531B1BrancaResidencialResidencialNão se aplicaNão se aplicaIntermediário",Mercado_Receita!$L$2:$L$418)</f>
        <v>3.5000000000000003E-2</v>
      </c>
      <c r="M15" s="13">
        <f>SUMIF(Mercado_Receita!$S$2:$S$418,"44562B1BrancaResidencialResidencialNão se aplicaNão se aplicaIntermediário",Mercado_Receita!$L$2:$L$418)</f>
        <v>5.0999999999999997E-2</v>
      </c>
      <c r="N15" s="13">
        <f>SUMIF(Mercado_Receita!$S$2:$S$418,"44593B1BrancaResidencialResidencialNão se aplicaNão se aplicaIntermediário",Mercado_Receita!$L$2:$L$418)</f>
        <v>1.2999999999999999E-2</v>
      </c>
      <c r="O15" s="13">
        <f>SUMIF(Mercado_Receita!$S$2:$S$418,"44621B1BrancaResidencialResidencialNão se aplicaNão se aplicaIntermediário",Mercado_Receita!$L$2:$L$418)</f>
        <v>0</v>
      </c>
      <c r="P15" s="13">
        <f>SUMIF(Mercado_Receita!$S$2:$S$418,"44652B1BrancaResidencialResidencialNão se aplicaNão se aplicaIntermediário",Mercado_Receita!$L$2:$L$418)</f>
        <v>2.5999999999999999E-2</v>
      </c>
      <c r="Q15" s="13">
        <f>SUMIF(Mercado_Receita!$S$2:$S$418,"44682B1BrancaResidencialResidencialNão se aplicaNão se aplicaIntermediário",Mercado_Receita!$L$2:$L$418)</f>
        <v>3.5999999999999997E-2</v>
      </c>
      <c r="R15" s="13">
        <f>SUMIF(Mercado_Receita!$S$2:$S$418,"44713B1BrancaResidencialResidencialNão se aplicaNão se aplicaIntermediário",Mercado_Receita!$L$2:$L$418)</f>
        <v>4.8000000000000001E-2</v>
      </c>
      <c r="S15" s="13">
        <f>SUMIF(Mercado_Receita!$S$2:$S$418,"44743B1BrancaResidencialResidencialNão se aplicaNão se aplicaIntermediário",Mercado_Receita!$L$2:$L$418)</f>
        <v>3.5999999999999997E-2</v>
      </c>
      <c r="T15" s="13">
        <f>SUMIF(Mercado_Receita!$S$2:$S$418,"44774B1BrancaResidencialResidencialNão se aplicaNão se aplicaIntermediário",Mercado_Receita!$L$2:$L$418)</f>
        <v>2.8000000000000001E-2</v>
      </c>
      <c r="U15" s="13">
        <f t="shared" si="0"/>
        <v>0.34</v>
      </c>
      <c r="V15" s="13"/>
      <c r="W15" s="13"/>
    </row>
    <row r="16" spans="1:30" ht="11.25" customHeight="1" x14ac:dyDescent="0.3">
      <c r="A16" s="77"/>
      <c r="B16" s="77"/>
      <c r="C16" s="77"/>
      <c r="D16" s="77"/>
      <c r="E16" s="77"/>
      <c r="F16" s="77"/>
      <c r="G16" s="13" t="s">
        <v>72</v>
      </c>
      <c r="H16" s="13" t="s">
        <v>70</v>
      </c>
      <c r="I16" s="13">
        <f>SUMIF(Mercado_Receita!$S$2:$S$418,"44440B1BrancaResidencialResidencialNão se aplicaNão se aplicaFora ponta",Mercado_Receita!$L$2:$L$418)</f>
        <v>0.15</v>
      </c>
      <c r="J16" s="13">
        <f>SUMIF(Mercado_Receita!$S$2:$S$418,"44470B1BrancaResidencialResidencialNão se aplicaNão se aplicaFora ponta",Mercado_Receita!$L$2:$L$418)</f>
        <v>0.76800000000000002</v>
      </c>
      <c r="K16" s="13">
        <f>SUMIF(Mercado_Receita!$S$2:$S$418,"44501B1BrancaResidencialResidencialNão se aplicaNão se aplicaFora ponta",Mercado_Receita!$L$2:$L$418)</f>
        <v>0.51400000000000001</v>
      </c>
      <c r="L16" s="13">
        <f>SUMIF(Mercado_Receita!$S$2:$S$418,"44531B1BrancaResidencialResidencialNão se aplicaNão se aplicaFora ponta",Mercado_Receita!$L$2:$L$418)</f>
        <v>0.625</v>
      </c>
      <c r="M16" s="13">
        <f>SUMIF(Mercado_Receita!$S$2:$S$418,"44562B1BrancaResidencialResidencialNão se aplicaNão se aplicaFora ponta",Mercado_Receita!$L$2:$L$418)</f>
        <v>1.395</v>
      </c>
      <c r="N16" s="13">
        <f>SUMIF(Mercado_Receita!$S$2:$S$418,"44593B1BrancaResidencialResidencialNão se aplicaNão se aplicaFora ponta",Mercado_Receita!$L$2:$L$418)</f>
        <v>0.75900000000000001</v>
      </c>
      <c r="O16" s="13">
        <f>SUMIF(Mercado_Receita!$S$2:$S$418,"44621B1BrancaResidencialResidencialNão se aplicaNão se aplicaFora ponta",Mercado_Receita!$L$2:$L$418)</f>
        <v>0.64500000000000002</v>
      </c>
      <c r="P16" s="13">
        <f>SUMIF(Mercado_Receita!$S$2:$S$418,"44652B1BrancaResidencialResidencialNão se aplicaNão se aplicaFora ponta",Mercado_Receita!$L$2:$L$418)</f>
        <v>0.85399999999999998</v>
      </c>
      <c r="Q16" s="13">
        <f>SUMIF(Mercado_Receita!$S$2:$S$418,"44682B1BrancaResidencialResidencialNão se aplicaNão se aplicaFora ponta",Mercado_Receita!$L$2:$L$418)</f>
        <v>0.95899999999999996</v>
      </c>
      <c r="R16" s="13">
        <f>SUMIF(Mercado_Receita!$S$2:$S$418,"44713B1BrancaResidencialResidencialNão se aplicaNão se aplicaFora ponta",Mercado_Receita!$L$2:$L$418)</f>
        <v>0.72699999999999998</v>
      </c>
      <c r="S16" s="13">
        <f>SUMIF(Mercado_Receita!$S$2:$S$418,"44743B1BrancaResidencialResidencialNão se aplicaNão se aplicaFora ponta",Mercado_Receita!$L$2:$L$418)</f>
        <v>0.58499999999999996</v>
      </c>
      <c r="T16" s="13">
        <f>SUMIF(Mercado_Receita!$S$2:$S$418,"44774B1BrancaResidencialResidencialNão se aplicaNão se aplicaFora ponta",Mercado_Receita!$L$2:$L$418)</f>
        <v>0.68</v>
      </c>
      <c r="U16" s="13">
        <f t="shared" si="0"/>
        <v>8.6609999999999996</v>
      </c>
      <c r="V16" s="13"/>
      <c r="W16" s="13"/>
    </row>
    <row r="17" spans="1:23" ht="11.25" customHeight="1" x14ac:dyDescent="0.3">
      <c r="A17" s="77"/>
      <c r="B17" s="76" t="s">
        <v>23</v>
      </c>
      <c r="C17" s="76" t="s">
        <v>24</v>
      </c>
      <c r="D17" s="12" t="s">
        <v>24</v>
      </c>
      <c r="E17" s="12" t="s">
        <v>25</v>
      </c>
      <c r="F17" s="12" t="s">
        <v>25</v>
      </c>
      <c r="G17" s="13" t="s">
        <v>74</v>
      </c>
      <c r="H17" s="13" t="s">
        <v>70</v>
      </c>
      <c r="I17" s="13">
        <f>SUMIF(Mercado_Receita!$S$2:$S$418,"44440B1ConvencionalResidencialResidencialNão se aplicaNão se aplicaPonta",Mercado_Receita!$L$2:$L$418)+SUMIF(Mercado_Receita!$S$2:$S$418,"44440B1ConvencionalResidencialResidencialNão se aplicaNão se aplicaFora ponta",Mercado_Receita!$L$2:$L$418)+SUMIF(Mercado_Receita!$S$2:$S$418,"44440B1ConvencionalResidencialResidencialNão se aplicaNão se aplicaIntermediário",Mercado_Receita!$L$2:$L$418)+SUMIF(Mercado_Receita!$S$2:$S$418,"44440B1ConvencionalResidencialResidencialNão se aplicaNão se aplicaNão se aplica",Mercado_Receita!$L$2:$L$418)</f>
        <v>1224.386</v>
      </c>
      <c r="J17" s="13">
        <f>SUMIF(Mercado_Receita!$S$2:$S$418,"44470B1ConvencionalResidencialResidencialNão se aplicaNão se aplicaPonta",Mercado_Receita!$L$2:$L$418)+SUMIF(Mercado_Receita!$S$2:$S$418,"44470B1ConvencionalResidencialResidencialNão se aplicaNão se aplicaFora ponta",Mercado_Receita!$L$2:$L$418)+SUMIF(Mercado_Receita!$S$2:$S$418,"44470B1ConvencionalResidencialResidencialNão se aplicaNão se aplicaIntermediário",Mercado_Receita!$L$2:$L$418)+SUMIF(Mercado_Receita!$S$2:$S$418,"44470B1ConvencionalResidencialResidencialNão se aplicaNão se aplicaNão se aplica",Mercado_Receita!$L$2:$L$418)</f>
        <v>1220.1860000000001</v>
      </c>
      <c r="K17" s="13">
        <f>SUMIF(Mercado_Receita!$S$2:$S$418,"44501B1ConvencionalResidencialResidencialNão se aplicaNão se aplicaPonta",Mercado_Receita!$L$2:$L$418)+SUMIF(Mercado_Receita!$S$2:$S$418,"44501B1ConvencionalResidencialResidencialNão se aplicaNão se aplicaFora ponta",Mercado_Receita!$L$2:$L$418)+SUMIF(Mercado_Receita!$S$2:$S$418,"44501B1ConvencionalResidencialResidencialNão se aplicaNão se aplicaIntermediário",Mercado_Receita!$L$2:$L$418)+SUMIF(Mercado_Receita!$S$2:$S$418,"44501B1ConvencionalResidencialResidencialNão se aplicaNão se aplicaNão se aplica",Mercado_Receita!$L$2:$L$418)</f>
        <v>1208.7329999999999</v>
      </c>
      <c r="L17" s="13">
        <f>SUMIF(Mercado_Receita!$S$2:$S$418,"44531B1ConvencionalResidencialResidencialNão se aplicaNão se aplicaPonta",Mercado_Receita!$L$2:$L$418)+SUMIF(Mercado_Receita!$S$2:$S$418,"44531B1ConvencionalResidencialResidencialNão se aplicaNão se aplicaFora ponta",Mercado_Receita!$L$2:$L$418)+SUMIF(Mercado_Receita!$S$2:$S$418,"44531B1ConvencionalResidencialResidencialNão se aplicaNão se aplicaIntermediário",Mercado_Receita!$L$2:$L$418)+SUMIF(Mercado_Receita!$S$2:$S$418,"44531B1ConvencionalResidencialResidencialNão se aplicaNão se aplicaNão se aplica",Mercado_Receita!$L$2:$L$418)</f>
        <v>1187.5200000000002</v>
      </c>
      <c r="M17" s="13">
        <f>SUMIF(Mercado_Receita!$S$2:$S$418,"44562B1ConvencionalResidencialResidencialNão se aplicaNão se aplicaPonta",Mercado_Receita!$L$2:$L$418)+SUMIF(Mercado_Receita!$S$2:$S$418,"44562B1ConvencionalResidencialResidencialNão se aplicaNão se aplicaFora ponta",Mercado_Receita!$L$2:$L$418)+SUMIF(Mercado_Receita!$S$2:$S$418,"44562B1ConvencionalResidencialResidencialNão se aplicaNão se aplicaIntermediário",Mercado_Receita!$L$2:$L$418)+SUMIF(Mercado_Receita!$S$2:$S$418,"44562B1ConvencionalResidencialResidencialNão se aplicaNão se aplicaNão se aplica",Mercado_Receita!$L$2:$L$418)</f>
        <v>1532.3689999999999</v>
      </c>
      <c r="N17" s="13">
        <f>SUMIF(Mercado_Receita!$S$2:$S$418,"44593B1ConvencionalResidencialResidencialNão se aplicaNão se aplicaPonta",Mercado_Receita!$L$2:$L$418)+SUMIF(Mercado_Receita!$S$2:$S$418,"44593B1ConvencionalResidencialResidencialNão se aplicaNão se aplicaFora ponta",Mercado_Receita!$L$2:$L$418)+SUMIF(Mercado_Receita!$S$2:$S$418,"44593B1ConvencionalResidencialResidencialNão se aplicaNão se aplicaIntermediário",Mercado_Receita!$L$2:$L$418)+SUMIF(Mercado_Receita!$S$2:$S$418,"44593B1ConvencionalResidencialResidencialNão se aplicaNão se aplicaNão se aplica",Mercado_Receita!$L$2:$L$418)</f>
        <v>1593.9449999999997</v>
      </c>
      <c r="O17" s="13">
        <f>SUMIF(Mercado_Receita!$S$2:$S$418,"44621B1ConvencionalResidencialResidencialNão se aplicaNão se aplicaPonta",Mercado_Receita!$L$2:$L$418)+SUMIF(Mercado_Receita!$S$2:$S$418,"44621B1ConvencionalResidencialResidencialNão se aplicaNão se aplicaFora ponta",Mercado_Receita!$L$2:$L$418)+SUMIF(Mercado_Receita!$S$2:$S$418,"44621B1ConvencionalResidencialResidencialNão se aplicaNão se aplicaIntermediário",Mercado_Receita!$L$2:$L$418)+SUMIF(Mercado_Receita!$S$2:$S$418,"44621B1ConvencionalResidencialResidencialNão se aplicaNão se aplicaNão se aplica",Mercado_Receita!$L$2:$L$418)</f>
        <v>1478.0549999999998</v>
      </c>
      <c r="P17" s="13">
        <f>SUMIF(Mercado_Receita!$S$2:$S$418,"44652B1ConvencionalResidencialResidencialNão se aplicaNão se aplicaPonta",Mercado_Receita!$L$2:$L$418)+SUMIF(Mercado_Receita!$S$2:$S$418,"44652B1ConvencionalResidencialResidencialNão se aplicaNão se aplicaFora ponta",Mercado_Receita!$L$2:$L$418)+SUMIF(Mercado_Receita!$S$2:$S$418,"44652B1ConvencionalResidencialResidencialNão se aplicaNão se aplicaIntermediário",Mercado_Receita!$L$2:$L$418)+SUMIF(Mercado_Receita!$S$2:$S$418,"44652B1ConvencionalResidencialResidencialNão se aplicaNão se aplicaNão se aplica",Mercado_Receita!$L$2:$L$418)</f>
        <v>1389.433</v>
      </c>
      <c r="Q17" s="13">
        <f>SUMIF(Mercado_Receita!$S$2:$S$418,"44682B1ConvencionalResidencialResidencialNão se aplicaNão se aplicaPonta",Mercado_Receita!$L$2:$L$418)+SUMIF(Mercado_Receita!$S$2:$S$418,"44682B1ConvencionalResidencialResidencialNão se aplicaNão se aplicaFora ponta",Mercado_Receita!$L$2:$L$418)+SUMIF(Mercado_Receita!$S$2:$S$418,"44682B1ConvencionalResidencialResidencialNão se aplicaNão se aplicaIntermediário",Mercado_Receita!$L$2:$L$418)+SUMIF(Mercado_Receita!$S$2:$S$418,"44682B1ConvencionalResidencialResidencialNão se aplicaNão se aplicaNão se aplica",Mercado_Receita!$L$2:$L$418)</f>
        <v>1257.963</v>
      </c>
      <c r="R17" s="13">
        <f>SUMIF(Mercado_Receita!$S$2:$S$418,"44713B1ConvencionalResidencialResidencialNão se aplicaNão se aplicaPonta",Mercado_Receita!$L$2:$L$418)+SUMIF(Mercado_Receita!$S$2:$S$418,"44713B1ConvencionalResidencialResidencialNão se aplicaNão se aplicaFora ponta",Mercado_Receita!$L$2:$L$418)+SUMIF(Mercado_Receita!$S$2:$S$418,"44713B1ConvencionalResidencialResidencialNão se aplicaNão se aplicaIntermediário",Mercado_Receita!$L$2:$L$418)+SUMIF(Mercado_Receita!$S$2:$S$418,"44713B1ConvencionalResidencialResidencialNão se aplicaNão se aplicaNão se aplica",Mercado_Receita!$L$2:$L$418)</f>
        <v>1328.8030000000001</v>
      </c>
      <c r="S17" s="13">
        <f>SUMIF(Mercado_Receita!$S$2:$S$418,"44743B1ConvencionalResidencialResidencialNão se aplicaNão se aplicaPonta",Mercado_Receita!$L$2:$L$418)+SUMIF(Mercado_Receita!$S$2:$S$418,"44743B1ConvencionalResidencialResidencialNão se aplicaNão se aplicaFora ponta",Mercado_Receita!$L$2:$L$418)+SUMIF(Mercado_Receita!$S$2:$S$418,"44743B1ConvencionalResidencialResidencialNão se aplicaNão se aplicaIntermediário",Mercado_Receita!$L$2:$L$418)+SUMIF(Mercado_Receita!$S$2:$S$418,"44743B1ConvencionalResidencialResidencialNão se aplicaNão se aplicaNão se aplica",Mercado_Receita!$L$2:$L$418)</f>
        <v>1165.0590000000002</v>
      </c>
      <c r="T17" s="13">
        <f>SUMIF(Mercado_Receita!$S$2:$S$418,"44774B1ConvencionalResidencialResidencialNão se aplicaNão se aplicaPonta",Mercado_Receita!$L$2:$L$418)+SUMIF(Mercado_Receita!$S$2:$S$418,"44774B1ConvencionalResidencialResidencialNão se aplicaNão se aplicaFora ponta",Mercado_Receita!$L$2:$L$418)+SUMIF(Mercado_Receita!$S$2:$S$418,"44774B1ConvencionalResidencialResidencialNão se aplicaNão se aplicaIntermediário",Mercado_Receita!$L$2:$L$418)+SUMIF(Mercado_Receita!$S$2:$S$418,"44774B1ConvencionalResidencialResidencialNão se aplicaNão se aplicaNão se aplica",Mercado_Receita!$L$2:$L$418)</f>
        <v>1372.5350000000001</v>
      </c>
      <c r="U17" s="13">
        <f t="shared" si="0"/>
        <v>15958.987000000001</v>
      </c>
      <c r="V17" s="13"/>
      <c r="W17" s="13"/>
    </row>
    <row r="18" spans="1:23" ht="11.25" customHeight="1" x14ac:dyDescent="0.3">
      <c r="A18" s="77"/>
      <c r="B18" s="77"/>
      <c r="C18" s="77"/>
      <c r="D18" s="12" t="s">
        <v>29</v>
      </c>
      <c r="E18" s="12" t="s">
        <v>25</v>
      </c>
      <c r="F18" s="12" t="s">
        <v>25</v>
      </c>
      <c r="G18" s="13" t="s">
        <v>74</v>
      </c>
      <c r="H18" s="13" t="s">
        <v>70</v>
      </c>
      <c r="I18" s="13">
        <f>SUMIF(Mercado_Receita!$S$2:$S$418,"44440B1ConvencionalResidencialResidencial baixa renda – faixa 01Não se aplicaNão se aplicaPonta",Mercado_Receita!$L$2:$L$418)+SUMIF(Mercado_Receita!$S$2:$S$418,"44440B1ConvencionalResidencialResidencial baixa renda – faixa 01Não se aplicaNão se aplicaFora ponta",Mercado_Receita!$L$2:$L$418)+SUMIF(Mercado_Receita!$S$2:$S$418,"44440B1ConvencionalResidencialResidencial baixa renda – faixa 01Não se aplicaNão se aplicaIntermediário",Mercado_Receita!$L$2:$L$418)+SUMIF(Mercado_Receita!$S$2:$S$418,"44440B1ConvencionalResidencialResidencial baixa renda – faixa 01Não se aplicaNão se aplicaNão se aplica",Mercado_Receita!$L$2:$L$418)</f>
        <v>6.03</v>
      </c>
      <c r="J18" s="13">
        <f>SUMIF(Mercado_Receita!$S$2:$S$418,"44470B1ConvencionalResidencialResidencial baixa renda – faixa 01Não se aplicaNão se aplicaPonta",Mercado_Receita!$L$2:$L$418)+SUMIF(Mercado_Receita!$S$2:$S$418,"44470B1ConvencionalResidencialResidencial baixa renda – faixa 01Não se aplicaNão se aplicaFora ponta",Mercado_Receita!$L$2:$L$418)+SUMIF(Mercado_Receita!$S$2:$S$418,"44470B1ConvencionalResidencialResidencial baixa renda – faixa 01Não se aplicaNão se aplicaIntermediário",Mercado_Receita!$L$2:$L$418)+SUMIF(Mercado_Receita!$S$2:$S$418,"44470B1ConvencionalResidencialResidencial baixa renda – faixa 01Não se aplicaNão se aplicaNão se aplica",Mercado_Receita!$L$2:$L$418)</f>
        <v>6</v>
      </c>
      <c r="K18" s="13">
        <f>SUMIF(Mercado_Receita!$S$2:$S$418,"44501B1ConvencionalResidencialResidencial baixa renda – faixa 01Não se aplicaNão se aplicaPonta",Mercado_Receita!$L$2:$L$418)+SUMIF(Mercado_Receita!$S$2:$S$418,"44501B1ConvencionalResidencialResidencial baixa renda – faixa 01Não se aplicaNão se aplicaFora ponta",Mercado_Receita!$L$2:$L$418)+SUMIF(Mercado_Receita!$S$2:$S$418,"44501B1ConvencionalResidencialResidencial baixa renda – faixa 01Não se aplicaNão se aplicaIntermediário",Mercado_Receita!$L$2:$L$418)+SUMIF(Mercado_Receita!$S$2:$S$418,"44501B1ConvencionalResidencialResidencial baixa renda – faixa 01Não se aplicaNão se aplicaNão se aplica",Mercado_Receita!$L$2:$L$418)</f>
        <v>6.0550000000000006</v>
      </c>
      <c r="L18" s="13">
        <f>SUMIF(Mercado_Receita!$S$2:$S$418,"44531B1ConvencionalResidencialResidencial baixa renda – faixa 01Não se aplicaNão se aplicaPonta",Mercado_Receita!$L$2:$L$418)+SUMIF(Mercado_Receita!$S$2:$S$418,"44531B1ConvencionalResidencialResidencial baixa renda – faixa 01Não se aplicaNão se aplicaFora ponta",Mercado_Receita!$L$2:$L$418)+SUMIF(Mercado_Receita!$S$2:$S$418,"44531B1ConvencionalResidencialResidencial baixa renda – faixa 01Não se aplicaNão se aplicaIntermediário",Mercado_Receita!$L$2:$L$418)+SUMIF(Mercado_Receita!$S$2:$S$418,"44531B1ConvencionalResidencialResidencial baixa renda – faixa 01Não se aplicaNão se aplicaNão se aplica",Mercado_Receita!$L$2:$L$418)</f>
        <v>6.03</v>
      </c>
      <c r="M18" s="13">
        <f>SUMIF(Mercado_Receita!$S$2:$S$418,"44562B1ConvencionalResidencialResidencial baixa renda – faixa 01Não se aplicaNão se aplicaPonta",Mercado_Receita!$L$2:$L$418)+SUMIF(Mercado_Receita!$S$2:$S$418,"44562B1ConvencionalResidencialResidencial baixa renda – faixa 01Não se aplicaNão se aplicaFora ponta",Mercado_Receita!$L$2:$L$418)+SUMIF(Mercado_Receita!$S$2:$S$418,"44562B1ConvencionalResidencialResidencial baixa renda – faixa 01Não se aplicaNão se aplicaIntermediário",Mercado_Receita!$L$2:$L$418)+SUMIF(Mercado_Receita!$S$2:$S$418,"44562B1ConvencionalResidencialResidencial baixa renda – faixa 01Não se aplicaNão se aplicaNão se aplica",Mercado_Receita!$L$2:$L$418)</f>
        <v>5.97</v>
      </c>
      <c r="N18" s="13">
        <f>SUMIF(Mercado_Receita!$S$2:$S$418,"44593B1ConvencionalResidencialResidencial baixa renda – faixa 01Não se aplicaNão se aplicaPonta",Mercado_Receita!$L$2:$L$418)+SUMIF(Mercado_Receita!$S$2:$S$418,"44593B1ConvencionalResidencialResidencial baixa renda – faixa 01Não se aplicaNão se aplicaFora ponta",Mercado_Receita!$L$2:$L$418)+SUMIF(Mercado_Receita!$S$2:$S$418,"44593B1ConvencionalResidencialResidencial baixa renda – faixa 01Não se aplicaNão se aplicaIntermediário",Mercado_Receita!$L$2:$L$418)+SUMIF(Mercado_Receita!$S$2:$S$418,"44593B1ConvencionalResidencialResidencial baixa renda – faixa 01Não se aplicaNão se aplicaNão se aplica",Mercado_Receita!$L$2:$L$418)</f>
        <v>5.8050000000000006</v>
      </c>
      <c r="O18" s="13">
        <f>SUMIF(Mercado_Receita!$S$2:$S$418,"44621B1ConvencionalResidencialResidencial baixa renda – faixa 01Não se aplicaNão se aplicaPonta",Mercado_Receita!$L$2:$L$418)+SUMIF(Mercado_Receita!$S$2:$S$418,"44621B1ConvencionalResidencialResidencial baixa renda – faixa 01Não se aplicaNão se aplicaFora ponta",Mercado_Receita!$L$2:$L$418)+SUMIF(Mercado_Receita!$S$2:$S$418,"44621B1ConvencionalResidencialResidencial baixa renda – faixa 01Não se aplicaNão se aplicaIntermediário",Mercado_Receita!$L$2:$L$418)+SUMIF(Mercado_Receita!$S$2:$S$418,"44621B1ConvencionalResidencialResidencial baixa renda – faixa 01Não se aplicaNão se aplicaNão se aplica",Mercado_Receita!$L$2:$L$418)</f>
        <v>6.57</v>
      </c>
      <c r="P18" s="13">
        <f>SUMIF(Mercado_Receita!$S$2:$S$418,"44652B1ConvencionalResidencialResidencial baixa renda – faixa 01Não se aplicaNão se aplicaPonta",Mercado_Receita!$L$2:$L$418)+SUMIF(Mercado_Receita!$S$2:$S$418,"44652B1ConvencionalResidencialResidencial baixa renda – faixa 01Não se aplicaNão se aplicaFora ponta",Mercado_Receita!$L$2:$L$418)+SUMIF(Mercado_Receita!$S$2:$S$418,"44652B1ConvencionalResidencialResidencial baixa renda – faixa 01Não se aplicaNão se aplicaIntermediário",Mercado_Receita!$L$2:$L$418)+SUMIF(Mercado_Receita!$S$2:$S$418,"44652B1ConvencionalResidencialResidencial baixa renda – faixa 01Não se aplicaNão se aplicaNão se aplica",Mercado_Receita!$L$2:$L$418)</f>
        <v>11.123000000000001</v>
      </c>
      <c r="Q18" s="13">
        <f>SUMIF(Mercado_Receita!$S$2:$S$418,"44682B1ConvencionalResidencialResidencial baixa renda – faixa 01Não se aplicaNão se aplicaPonta",Mercado_Receita!$L$2:$L$418)+SUMIF(Mercado_Receita!$S$2:$S$418,"44682B1ConvencionalResidencialResidencial baixa renda – faixa 01Não se aplicaNão se aplicaFora ponta",Mercado_Receita!$L$2:$L$418)+SUMIF(Mercado_Receita!$S$2:$S$418,"44682B1ConvencionalResidencialResidencial baixa renda – faixa 01Não se aplicaNão se aplicaIntermediário",Mercado_Receita!$L$2:$L$418)+SUMIF(Mercado_Receita!$S$2:$S$418,"44682B1ConvencionalResidencialResidencial baixa renda – faixa 01Não se aplicaNão se aplicaNão se aplica",Mercado_Receita!$L$2:$L$418)</f>
        <v>8.5499999999999989</v>
      </c>
      <c r="R18" s="13">
        <f>SUMIF(Mercado_Receita!$S$2:$S$418,"44713B1ConvencionalResidencialResidencial baixa renda – faixa 01Não se aplicaNão se aplicaPonta",Mercado_Receita!$L$2:$L$418)+SUMIF(Mercado_Receita!$S$2:$S$418,"44713B1ConvencionalResidencialResidencial baixa renda – faixa 01Não se aplicaNão se aplicaFora ponta",Mercado_Receita!$L$2:$L$418)+SUMIF(Mercado_Receita!$S$2:$S$418,"44713B1ConvencionalResidencialResidencial baixa renda – faixa 01Não se aplicaNão se aplicaIntermediário",Mercado_Receita!$L$2:$L$418)+SUMIF(Mercado_Receita!$S$2:$S$418,"44713B1ConvencionalResidencialResidencial baixa renda – faixa 01Não se aplicaNão se aplicaNão se aplica",Mercado_Receita!$L$2:$L$418)</f>
        <v>8.6999999999999993</v>
      </c>
      <c r="S18" s="13">
        <f>SUMIF(Mercado_Receita!$S$2:$S$418,"44743B1ConvencionalResidencialResidencial baixa renda – faixa 01Não se aplicaNão se aplicaPonta",Mercado_Receita!$L$2:$L$418)+SUMIF(Mercado_Receita!$S$2:$S$418,"44743B1ConvencionalResidencialResidencial baixa renda – faixa 01Não se aplicaNão se aplicaFora ponta",Mercado_Receita!$L$2:$L$418)+SUMIF(Mercado_Receita!$S$2:$S$418,"44743B1ConvencionalResidencialResidencial baixa renda – faixa 01Não se aplicaNão se aplicaIntermediário",Mercado_Receita!$L$2:$L$418)+SUMIF(Mercado_Receita!$S$2:$S$418,"44743B1ConvencionalResidencialResidencial baixa renda – faixa 01Não se aplicaNão se aplicaNão se aplica",Mercado_Receita!$L$2:$L$418)</f>
        <v>8.5500000000000007</v>
      </c>
      <c r="T18" s="13">
        <f>SUMIF(Mercado_Receita!$S$2:$S$418,"44774B1ConvencionalResidencialResidencial baixa renda – faixa 01Não se aplicaNão se aplicaPonta",Mercado_Receita!$L$2:$L$418)+SUMIF(Mercado_Receita!$S$2:$S$418,"44774B1ConvencionalResidencialResidencial baixa renda – faixa 01Não se aplicaNão se aplicaFora ponta",Mercado_Receita!$L$2:$L$418)+SUMIF(Mercado_Receita!$S$2:$S$418,"44774B1ConvencionalResidencialResidencial baixa renda – faixa 01Não se aplicaNão se aplicaIntermediário",Mercado_Receita!$L$2:$L$418)+SUMIF(Mercado_Receita!$S$2:$S$418,"44774B1ConvencionalResidencialResidencial baixa renda – faixa 01Não se aplicaNão se aplicaNão se aplica",Mercado_Receita!$L$2:$L$418)</f>
        <v>6.75</v>
      </c>
      <c r="U18" s="13">
        <f t="shared" si="0"/>
        <v>86.132999999999996</v>
      </c>
      <c r="V18" s="13"/>
      <c r="W18" s="13"/>
    </row>
    <row r="19" spans="1:23" ht="11.25" customHeight="1" x14ac:dyDescent="0.3">
      <c r="A19" s="77"/>
      <c r="B19" s="77"/>
      <c r="C19" s="77"/>
      <c r="D19" s="12" t="s">
        <v>30</v>
      </c>
      <c r="E19" s="12" t="s">
        <v>25</v>
      </c>
      <c r="F19" s="12" t="s">
        <v>25</v>
      </c>
      <c r="G19" s="13" t="s">
        <v>74</v>
      </c>
      <c r="H19" s="13" t="s">
        <v>70</v>
      </c>
      <c r="I19" s="13">
        <f>SUMIF(Mercado_Receita!$S$2:$S$418,"44440B1ConvencionalResidencialResidencial baixa renda – faixa 02Não se aplicaNão se aplicaPonta",Mercado_Receita!$L$2:$L$418)+SUMIF(Mercado_Receita!$S$2:$S$418,"44440B1ConvencionalResidencialResidencial baixa renda – faixa 02Não se aplicaNão se aplicaFora ponta",Mercado_Receita!$L$2:$L$418)+SUMIF(Mercado_Receita!$S$2:$S$418,"44440B1ConvencionalResidencialResidencial baixa renda – faixa 02Não se aplicaNão se aplicaIntermediário",Mercado_Receita!$L$2:$L$418)+SUMIF(Mercado_Receita!$S$2:$S$418,"44440B1ConvencionalResidencialResidencial baixa renda – faixa 02Não se aplicaNão se aplicaNão se aplica",Mercado_Receita!$L$2:$L$418)</f>
        <v>12.154999999999999</v>
      </c>
      <c r="J19" s="13">
        <f>SUMIF(Mercado_Receita!$S$2:$S$418,"44470B1ConvencionalResidencialResidencial baixa renda – faixa 02Não se aplicaNão se aplicaPonta",Mercado_Receita!$L$2:$L$418)+SUMIF(Mercado_Receita!$S$2:$S$418,"44470B1ConvencionalResidencialResidencial baixa renda – faixa 02Não se aplicaNão se aplicaFora ponta",Mercado_Receita!$L$2:$L$418)+SUMIF(Mercado_Receita!$S$2:$S$418,"44470B1ConvencionalResidencialResidencial baixa renda – faixa 02Não se aplicaNão se aplicaIntermediário",Mercado_Receita!$L$2:$L$418)+SUMIF(Mercado_Receita!$S$2:$S$418,"44470B1ConvencionalResidencialResidencial baixa renda – faixa 02Não se aplicaNão se aplicaNão se aplica",Mercado_Receita!$L$2:$L$418)</f>
        <v>12.137</v>
      </c>
      <c r="K19" s="13">
        <f>SUMIF(Mercado_Receita!$S$2:$S$418,"44501B1ConvencionalResidencialResidencial baixa renda – faixa 02Não se aplicaNão se aplicaPonta",Mercado_Receita!$L$2:$L$418)+SUMIF(Mercado_Receita!$S$2:$S$418,"44501B1ConvencionalResidencialResidencial baixa renda – faixa 02Não se aplicaNão se aplicaFora ponta",Mercado_Receita!$L$2:$L$418)+SUMIF(Mercado_Receita!$S$2:$S$418,"44501B1ConvencionalResidencialResidencial baixa renda – faixa 02Não se aplicaNão se aplicaIntermediário",Mercado_Receita!$L$2:$L$418)+SUMIF(Mercado_Receita!$S$2:$S$418,"44501B1ConvencionalResidencialResidencial baixa renda – faixa 02Não se aplicaNão se aplicaNão se aplica",Mercado_Receita!$L$2:$L$418)</f>
        <v>12.046000000000001</v>
      </c>
      <c r="L19" s="13">
        <f>SUMIF(Mercado_Receita!$S$2:$S$418,"44531B1ConvencionalResidencialResidencial baixa renda – faixa 02Não se aplicaNão se aplicaPonta",Mercado_Receita!$L$2:$L$418)+SUMIF(Mercado_Receita!$S$2:$S$418,"44531B1ConvencionalResidencialResidencial baixa renda – faixa 02Não se aplicaNão se aplicaFora ponta",Mercado_Receita!$L$2:$L$418)+SUMIF(Mercado_Receita!$S$2:$S$418,"44531B1ConvencionalResidencialResidencial baixa renda – faixa 02Não se aplicaNão se aplicaIntermediário",Mercado_Receita!$L$2:$L$418)+SUMIF(Mercado_Receita!$S$2:$S$418,"44531B1ConvencionalResidencialResidencial baixa renda – faixa 02Não se aplicaNão se aplicaNão se aplica",Mercado_Receita!$L$2:$L$418)</f>
        <v>12.305999999999999</v>
      </c>
      <c r="M19" s="13">
        <f>SUMIF(Mercado_Receita!$S$2:$S$418,"44562B1ConvencionalResidencialResidencial baixa renda – faixa 02Não se aplicaNão se aplicaPonta",Mercado_Receita!$L$2:$L$418)+SUMIF(Mercado_Receita!$S$2:$S$418,"44562B1ConvencionalResidencialResidencial baixa renda – faixa 02Não se aplicaNão se aplicaFora ponta",Mercado_Receita!$L$2:$L$418)+SUMIF(Mercado_Receita!$S$2:$S$418,"44562B1ConvencionalResidencialResidencial baixa renda – faixa 02Não se aplicaNão se aplicaIntermediário",Mercado_Receita!$L$2:$L$418)+SUMIF(Mercado_Receita!$S$2:$S$418,"44562B1ConvencionalResidencialResidencial baixa renda – faixa 02Não se aplicaNão se aplicaNão se aplica",Mercado_Receita!$L$2:$L$418)</f>
        <v>12.425000000000001</v>
      </c>
      <c r="N19" s="13">
        <f>SUMIF(Mercado_Receita!$S$2:$S$418,"44593B1ConvencionalResidencialResidencial baixa renda – faixa 02Não se aplicaNão se aplicaPonta",Mercado_Receita!$L$2:$L$418)+SUMIF(Mercado_Receita!$S$2:$S$418,"44593B1ConvencionalResidencialResidencial baixa renda – faixa 02Não se aplicaNão se aplicaFora ponta",Mercado_Receita!$L$2:$L$418)+SUMIF(Mercado_Receita!$S$2:$S$418,"44593B1ConvencionalResidencialResidencial baixa renda – faixa 02Não se aplicaNão se aplicaIntermediário",Mercado_Receita!$L$2:$L$418)+SUMIF(Mercado_Receita!$S$2:$S$418,"44593B1ConvencionalResidencialResidencial baixa renda – faixa 02Não se aplicaNão se aplicaNão se aplica",Mercado_Receita!$L$2:$L$418)</f>
        <v>12.778</v>
      </c>
      <c r="O19" s="13">
        <f>SUMIF(Mercado_Receita!$S$2:$S$418,"44621B1ConvencionalResidencialResidencial baixa renda – faixa 02Não se aplicaNão se aplicaPonta",Mercado_Receita!$L$2:$L$418)+SUMIF(Mercado_Receita!$S$2:$S$418,"44621B1ConvencionalResidencialResidencial baixa renda – faixa 02Não se aplicaNão se aplicaFora ponta",Mercado_Receita!$L$2:$L$418)+SUMIF(Mercado_Receita!$S$2:$S$418,"44621B1ConvencionalResidencialResidencial baixa renda – faixa 02Não se aplicaNão se aplicaIntermediário",Mercado_Receita!$L$2:$L$418)+SUMIF(Mercado_Receita!$S$2:$S$418,"44621B1ConvencionalResidencialResidencial baixa renda – faixa 02Não se aplicaNão se aplicaNão se aplica",Mercado_Receita!$L$2:$L$418)</f>
        <v>13.773</v>
      </c>
      <c r="P19" s="13">
        <f>SUMIF(Mercado_Receita!$S$2:$S$418,"44652B1ConvencionalResidencialResidencial baixa renda – faixa 02Não se aplicaNão se aplicaPonta",Mercado_Receita!$L$2:$L$418)+SUMIF(Mercado_Receita!$S$2:$S$418,"44652B1ConvencionalResidencialResidencial baixa renda – faixa 02Não se aplicaNão se aplicaFora ponta",Mercado_Receita!$L$2:$L$418)+SUMIF(Mercado_Receita!$S$2:$S$418,"44652B1ConvencionalResidencialResidencial baixa renda – faixa 02Não se aplicaNão se aplicaIntermediário",Mercado_Receita!$L$2:$L$418)+SUMIF(Mercado_Receita!$S$2:$S$418,"44652B1ConvencionalResidencialResidencial baixa renda – faixa 02Não se aplicaNão se aplicaNão se aplica",Mercado_Receita!$L$2:$L$418)</f>
        <v>22.215</v>
      </c>
      <c r="Q19" s="13">
        <f>SUMIF(Mercado_Receita!$S$2:$S$418,"44682B1ConvencionalResidencialResidencial baixa renda – faixa 02Não se aplicaNão se aplicaPonta",Mercado_Receita!$L$2:$L$418)+SUMIF(Mercado_Receita!$S$2:$S$418,"44682B1ConvencionalResidencialResidencial baixa renda – faixa 02Não se aplicaNão se aplicaFora ponta",Mercado_Receita!$L$2:$L$418)+SUMIF(Mercado_Receita!$S$2:$S$418,"44682B1ConvencionalResidencialResidencial baixa renda – faixa 02Não se aplicaNão se aplicaIntermediário",Mercado_Receita!$L$2:$L$418)+SUMIF(Mercado_Receita!$S$2:$S$418,"44682B1ConvencionalResidencialResidencial baixa renda – faixa 02Não se aplicaNão se aplicaNão se aplica",Mercado_Receita!$L$2:$L$418)</f>
        <v>16.652000000000001</v>
      </c>
      <c r="R19" s="13">
        <f>SUMIF(Mercado_Receita!$S$2:$S$418,"44713B1ConvencionalResidencialResidencial baixa renda – faixa 02Não se aplicaNão se aplicaPonta",Mercado_Receita!$L$2:$L$418)+SUMIF(Mercado_Receita!$S$2:$S$418,"44713B1ConvencionalResidencialResidencial baixa renda – faixa 02Não se aplicaNão se aplicaFora ponta",Mercado_Receita!$L$2:$L$418)+SUMIF(Mercado_Receita!$S$2:$S$418,"44713B1ConvencionalResidencialResidencial baixa renda – faixa 02Não se aplicaNão se aplicaIntermediário",Mercado_Receita!$L$2:$L$418)+SUMIF(Mercado_Receita!$S$2:$S$418,"44713B1ConvencionalResidencialResidencial baixa renda – faixa 02Não se aplicaNão se aplicaNão se aplica",Mercado_Receita!$L$2:$L$418)</f>
        <v>16.468</v>
      </c>
      <c r="S19" s="13">
        <f>SUMIF(Mercado_Receita!$S$2:$S$418,"44743B1ConvencionalResidencialResidencial baixa renda – faixa 02Não se aplicaNão se aplicaPonta",Mercado_Receita!$L$2:$L$418)+SUMIF(Mercado_Receita!$S$2:$S$418,"44743B1ConvencionalResidencialResidencial baixa renda – faixa 02Não se aplicaNão se aplicaFora ponta",Mercado_Receita!$L$2:$L$418)+SUMIF(Mercado_Receita!$S$2:$S$418,"44743B1ConvencionalResidencialResidencial baixa renda – faixa 02Não se aplicaNão se aplicaIntermediário",Mercado_Receita!$L$2:$L$418)+SUMIF(Mercado_Receita!$S$2:$S$418,"44743B1ConvencionalResidencialResidencial baixa renda – faixa 02Não se aplicaNão se aplicaNão se aplica",Mercado_Receita!$L$2:$L$418)</f>
        <v>15.904</v>
      </c>
      <c r="T19" s="13">
        <f>SUMIF(Mercado_Receita!$S$2:$S$418,"44774B1ConvencionalResidencialResidencial baixa renda – faixa 02Não se aplicaNão se aplicaPonta",Mercado_Receita!$L$2:$L$418)+SUMIF(Mercado_Receita!$S$2:$S$418,"44774B1ConvencionalResidencialResidencial baixa renda – faixa 02Não se aplicaNão se aplicaFora ponta",Mercado_Receita!$L$2:$L$418)+SUMIF(Mercado_Receita!$S$2:$S$418,"44774B1ConvencionalResidencialResidencial baixa renda – faixa 02Não se aplicaNão se aplicaIntermediário",Mercado_Receita!$L$2:$L$418)+SUMIF(Mercado_Receita!$S$2:$S$418,"44774B1ConvencionalResidencialResidencial baixa renda – faixa 02Não se aplicaNão se aplicaNão se aplica",Mercado_Receita!$L$2:$L$418)</f>
        <v>13.456</v>
      </c>
      <c r="U19" s="13">
        <f t="shared" si="0"/>
        <v>172.315</v>
      </c>
      <c r="V19" s="13"/>
      <c r="W19" s="13"/>
    </row>
    <row r="20" spans="1:23" ht="11.25" customHeight="1" x14ac:dyDescent="0.3">
      <c r="A20" s="77"/>
      <c r="B20" s="77"/>
      <c r="C20" s="77"/>
      <c r="D20" s="12" t="s">
        <v>31</v>
      </c>
      <c r="E20" s="12" t="s">
        <v>25</v>
      </c>
      <c r="F20" s="12" t="s">
        <v>25</v>
      </c>
      <c r="G20" s="13" t="s">
        <v>74</v>
      </c>
      <c r="H20" s="13" t="s">
        <v>70</v>
      </c>
      <c r="I20" s="13">
        <f>SUMIF(Mercado_Receita!$S$2:$S$418,"44440B1ConvencionalResidencialResidencial baixa renda – faixa 03Não se aplicaNão se aplicaPonta",Mercado_Receita!$L$2:$L$418)+SUMIF(Mercado_Receita!$S$2:$S$418,"44440B1ConvencionalResidencialResidencial baixa renda – faixa 03Não se aplicaNão se aplicaFora ponta",Mercado_Receita!$L$2:$L$418)+SUMIF(Mercado_Receita!$S$2:$S$418,"44440B1ConvencionalResidencialResidencial baixa renda – faixa 03Não se aplicaNão se aplicaIntermediário",Mercado_Receita!$L$2:$L$418)+SUMIF(Mercado_Receita!$S$2:$S$418,"44440B1ConvencionalResidencialResidencial baixa renda – faixa 03Não se aplicaNão se aplicaNão se aplica",Mercado_Receita!$L$2:$L$418)</f>
        <v>11.212</v>
      </c>
      <c r="J20" s="13">
        <f>SUMIF(Mercado_Receita!$S$2:$S$418,"44470B1ConvencionalResidencialResidencial baixa renda – faixa 03Não se aplicaNão se aplicaPonta",Mercado_Receita!$L$2:$L$418)+SUMIF(Mercado_Receita!$S$2:$S$418,"44470B1ConvencionalResidencialResidencial baixa renda – faixa 03Não se aplicaNão se aplicaFora ponta",Mercado_Receita!$L$2:$L$418)+SUMIF(Mercado_Receita!$S$2:$S$418,"44470B1ConvencionalResidencialResidencial baixa renda – faixa 03Não se aplicaNão se aplicaIntermediário",Mercado_Receita!$L$2:$L$418)+SUMIF(Mercado_Receita!$S$2:$S$418,"44470B1ConvencionalResidencialResidencial baixa renda – faixa 03Não se aplicaNão se aplicaNão se aplica",Mercado_Receita!$L$2:$L$418)</f>
        <v>11.162000000000001</v>
      </c>
      <c r="K20" s="13">
        <f>SUMIF(Mercado_Receita!$S$2:$S$418,"44501B1ConvencionalResidencialResidencial baixa renda – faixa 03Não se aplicaNão se aplicaPonta",Mercado_Receita!$L$2:$L$418)+SUMIF(Mercado_Receita!$S$2:$S$418,"44501B1ConvencionalResidencialResidencial baixa renda – faixa 03Não se aplicaNão se aplicaFora ponta",Mercado_Receita!$L$2:$L$418)+SUMIF(Mercado_Receita!$S$2:$S$418,"44501B1ConvencionalResidencialResidencial baixa renda – faixa 03Não se aplicaNão se aplicaIntermediário",Mercado_Receita!$L$2:$L$418)+SUMIF(Mercado_Receita!$S$2:$S$418,"44501B1ConvencionalResidencialResidencial baixa renda – faixa 03Não se aplicaNão se aplicaNão se aplica",Mercado_Receita!$L$2:$L$418)</f>
        <v>10.295</v>
      </c>
      <c r="L20" s="13">
        <f>SUMIF(Mercado_Receita!$S$2:$S$418,"44531B1ConvencionalResidencialResidencial baixa renda – faixa 03Não se aplicaNão se aplicaPonta",Mercado_Receita!$L$2:$L$418)+SUMIF(Mercado_Receita!$S$2:$S$418,"44531B1ConvencionalResidencialResidencial baixa renda – faixa 03Não se aplicaNão se aplicaFora ponta",Mercado_Receita!$L$2:$L$418)+SUMIF(Mercado_Receita!$S$2:$S$418,"44531B1ConvencionalResidencialResidencial baixa renda – faixa 03Não se aplicaNão se aplicaIntermediário",Mercado_Receita!$L$2:$L$418)+SUMIF(Mercado_Receita!$S$2:$S$418,"44531B1ConvencionalResidencialResidencial baixa renda – faixa 03Não se aplicaNão se aplicaNão se aplica",Mercado_Receita!$L$2:$L$418)</f>
        <v>11.436999999999999</v>
      </c>
      <c r="M20" s="13">
        <f>SUMIF(Mercado_Receita!$S$2:$S$418,"44562B1ConvencionalResidencialResidencial baixa renda – faixa 03Não se aplicaNão se aplicaPonta",Mercado_Receita!$L$2:$L$418)+SUMIF(Mercado_Receita!$S$2:$S$418,"44562B1ConvencionalResidencialResidencial baixa renda – faixa 03Não se aplicaNão se aplicaFora ponta",Mercado_Receita!$L$2:$L$418)+SUMIF(Mercado_Receita!$S$2:$S$418,"44562B1ConvencionalResidencialResidencial baixa renda – faixa 03Não se aplicaNão se aplicaIntermediário",Mercado_Receita!$L$2:$L$418)+SUMIF(Mercado_Receita!$S$2:$S$418,"44562B1ConvencionalResidencialResidencial baixa renda – faixa 03Não se aplicaNão se aplicaNão se aplica",Mercado_Receita!$L$2:$L$418)</f>
        <v>13.813000000000001</v>
      </c>
      <c r="N20" s="13">
        <f>SUMIF(Mercado_Receita!$S$2:$S$418,"44593B1ConvencionalResidencialResidencial baixa renda – faixa 03Não se aplicaNão se aplicaPonta",Mercado_Receita!$L$2:$L$418)+SUMIF(Mercado_Receita!$S$2:$S$418,"44593B1ConvencionalResidencialResidencial baixa renda – faixa 03Não se aplicaNão se aplicaFora ponta",Mercado_Receita!$L$2:$L$418)+SUMIF(Mercado_Receita!$S$2:$S$418,"44593B1ConvencionalResidencialResidencial baixa renda – faixa 03Não se aplicaNão se aplicaIntermediário",Mercado_Receita!$L$2:$L$418)+SUMIF(Mercado_Receita!$S$2:$S$418,"44593B1ConvencionalResidencialResidencial baixa renda – faixa 03Não se aplicaNão se aplicaNão se aplica",Mercado_Receita!$L$2:$L$418)</f>
        <v>14.574</v>
      </c>
      <c r="O20" s="13">
        <f>SUMIF(Mercado_Receita!$S$2:$S$418,"44621B1ConvencionalResidencialResidencial baixa renda – faixa 03Não se aplicaNão se aplicaPonta",Mercado_Receita!$L$2:$L$418)+SUMIF(Mercado_Receita!$S$2:$S$418,"44621B1ConvencionalResidencialResidencial baixa renda – faixa 03Não se aplicaNão se aplicaFora ponta",Mercado_Receita!$L$2:$L$418)+SUMIF(Mercado_Receita!$S$2:$S$418,"44621B1ConvencionalResidencialResidencial baixa renda – faixa 03Não se aplicaNão se aplicaIntermediário",Mercado_Receita!$L$2:$L$418)+SUMIF(Mercado_Receita!$S$2:$S$418,"44621B1ConvencionalResidencialResidencial baixa renda – faixa 03Não se aplicaNão se aplicaNão se aplica",Mercado_Receita!$L$2:$L$418)</f>
        <v>15.63</v>
      </c>
      <c r="P20" s="13">
        <f>SUMIF(Mercado_Receita!$S$2:$S$418,"44652B1ConvencionalResidencialResidencial baixa renda – faixa 03Não se aplicaNão se aplicaPonta",Mercado_Receita!$L$2:$L$418)+SUMIF(Mercado_Receita!$S$2:$S$418,"44652B1ConvencionalResidencialResidencial baixa renda – faixa 03Não se aplicaNão se aplicaFora ponta",Mercado_Receita!$L$2:$L$418)+SUMIF(Mercado_Receita!$S$2:$S$418,"44652B1ConvencionalResidencialResidencial baixa renda – faixa 03Não se aplicaNão se aplicaIntermediário",Mercado_Receita!$L$2:$L$418)+SUMIF(Mercado_Receita!$S$2:$S$418,"44652B1ConvencionalResidencialResidencial baixa renda – faixa 03Não se aplicaNão se aplicaNão se aplica",Mercado_Receita!$L$2:$L$418)</f>
        <v>25.166</v>
      </c>
      <c r="Q20" s="13">
        <f>SUMIF(Mercado_Receita!$S$2:$S$418,"44682B1ConvencionalResidencialResidencial baixa renda – faixa 03Não se aplicaNão se aplicaPonta",Mercado_Receita!$L$2:$L$418)+SUMIF(Mercado_Receita!$S$2:$S$418,"44682B1ConvencionalResidencialResidencial baixa renda – faixa 03Não se aplicaNão se aplicaFora ponta",Mercado_Receita!$L$2:$L$418)+SUMIF(Mercado_Receita!$S$2:$S$418,"44682B1ConvencionalResidencialResidencial baixa renda – faixa 03Não se aplicaNão se aplicaIntermediário",Mercado_Receita!$L$2:$L$418)+SUMIF(Mercado_Receita!$S$2:$S$418,"44682B1ConvencionalResidencialResidencial baixa renda – faixa 03Não se aplicaNão se aplicaNão se aplica",Mercado_Receita!$L$2:$L$418)</f>
        <v>15.906000000000001</v>
      </c>
      <c r="R20" s="13">
        <f>SUMIF(Mercado_Receita!$S$2:$S$418,"44713B1ConvencionalResidencialResidencial baixa renda – faixa 03Não se aplicaNão se aplicaPonta",Mercado_Receita!$L$2:$L$418)+SUMIF(Mercado_Receita!$S$2:$S$418,"44713B1ConvencionalResidencialResidencial baixa renda – faixa 03Não se aplicaNão se aplicaFora ponta",Mercado_Receita!$L$2:$L$418)+SUMIF(Mercado_Receita!$S$2:$S$418,"44713B1ConvencionalResidencialResidencial baixa renda – faixa 03Não se aplicaNão se aplicaIntermediário",Mercado_Receita!$L$2:$L$418)+SUMIF(Mercado_Receita!$S$2:$S$418,"44713B1ConvencionalResidencialResidencial baixa renda – faixa 03Não se aplicaNão se aplicaNão se aplica",Mercado_Receita!$L$2:$L$418)</f>
        <v>17.007999999999999</v>
      </c>
      <c r="S20" s="13">
        <f>SUMIF(Mercado_Receita!$S$2:$S$418,"44743B1ConvencionalResidencialResidencial baixa renda – faixa 03Não se aplicaNão se aplicaPonta",Mercado_Receita!$L$2:$L$418)+SUMIF(Mercado_Receita!$S$2:$S$418,"44743B1ConvencionalResidencialResidencial baixa renda – faixa 03Não se aplicaNão se aplicaFora ponta",Mercado_Receita!$L$2:$L$418)+SUMIF(Mercado_Receita!$S$2:$S$418,"44743B1ConvencionalResidencialResidencial baixa renda – faixa 03Não se aplicaNão se aplicaIntermediário",Mercado_Receita!$L$2:$L$418)+SUMIF(Mercado_Receita!$S$2:$S$418,"44743B1ConvencionalResidencialResidencial baixa renda – faixa 03Não se aplicaNão se aplicaNão se aplica",Mercado_Receita!$L$2:$L$418)</f>
        <v>13.869</v>
      </c>
      <c r="T20" s="13">
        <f>SUMIF(Mercado_Receita!$S$2:$S$418,"44774B1ConvencionalResidencialResidencial baixa renda – faixa 03Não se aplicaNão se aplicaPonta",Mercado_Receita!$L$2:$L$418)+SUMIF(Mercado_Receita!$S$2:$S$418,"44774B1ConvencionalResidencialResidencial baixa renda – faixa 03Não se aplicaNão se aplicaFora ponta",Mercado_Receita!$L$2:$L$418)+SUMIF(Mercado_Receita!$S$2:$S$418,"44774B1ConvencionalResidencialResidencial baixa renda – faixa 03Não se aplicaNão se aplicaIntermediário",Mercado_Receita!$L$2:$L$418)+SUMIF(Mercado_Receita!$S$2:$S$418,"44774B1ConvencionalResidencialResidencial baixa renda – faixa 03Não se aplicaNão se aplicaNão se aplica",Mercado_Receita!$L$2:$L$418)</f>
        <v>14.058999999999999</v>
      </c>
      <c r="U20" s="13">
        <f t="shared" si="0"/>
        <v>174.131</v>
      </c>
      <c r="V20" s="13"/>
      <c r="W20" s="13"/>
    </row>
    <row r="21" spans="1:23" ht="11.25" customHeight="1" x14ac:dyDescent="0.3">
      <c r="A21" s="77"/>
      <c r="B21" s="77"/>
      <c r="C21" s="77"/>
      <c r="D21" s="12" t="s">
        <v>32</v>
      </c>
      <c r="E21" s="12" t="s">
        <v>25</v>
      </c>
      <c r="F21" s="12" t="s">
        <v>25</v>
      </c>
      <c r="G21" s="13" t="s">
        <v>74</v>
      </c>
      <c r="H21" s="13" t="s">
        <v>70</v>
      </c>
      <c r="I21" s="13">
        <f>SUMIF(Mercado_Receita!$S$2:$S$418,"44440B1ConvencionalResidencialResidencial baixa renda – faixa 04Não se aplicaNão se aplicaPonta",Mercado_Receita!$L$2:$L$418)+SUMIF(Mercado_Receita!$S$2:$S$418,"44440B1ConvencionalResidencialResidencial baixa renda – faixa 04Não se aplicaNão se aplicaFora ponta",Mercado_Receita!$L$2:$L$418)+SUMIF(Mercado_Receita!$S$2:$S$418,"44440B1ConvencionalResidencialResidencial baixa renda – faixa 04Não se aplicaNão se aplicaIntermediário",Mercado_Receita!$L$2:$L$418)+SUMIF(Mercado_Receita!$S$2:$S$418,"44440B1ConvencionalResidencialResidencial baixa renda – faixa 04Não se aplicaNão se aplicaNão se aplica",Mercado_Receita!$L$2:$L$418)</f>
        <v>2.7719999999999998</v>
      </c>
      <c r="J21" s="13">
        <f>SUMIF(Mercado_Receita!$S$2:$S$418,"44470B1ConvencionalResidencialResidencial baixa renda – faixa 04Não se aplicaNão se aplicaPonta",Mercado_Receita!$L$2:$L$418)+SUMIF(Mercado_Receita!$S$2:$S$418,"44470B1ConvencionalResidencialResidencial baixa renda – faixa 04Não se aplicaNão se aplicaFora ponta",Mercado_Receita!$L$2:$L$418)+SUMIF(Mercado_Receita!$S$2:$S$418,"44470B1ConvencionalResidencialResidencial baixa renda – faixa 04Não se aplicaNão se aplicaIntermediário",Mercado_Receita!$L$2:$L$418)+SUMIF(Mercado_Receita!$S$2:$S$418,"44470B1ConvencionalResidencialResidencial baixa renda – faixa 04Não se aplicaNão se aplicaNão se aplica",Mercado_Receita!$L$2:$L$418)</f>
        <v>2.9910000000000001</v>
      </c>
      <c r="K21" s="13">
        <f>SUMIF(Mercado_Receita!$S$2:$S$418,"44501B1ConvencionalResidencialResidencial baixa renda – faixa 04Não se aplicaNão se aplicaPonta",Mercado_Receita!$L$2:$L$418)+SUMIF(Mercado_Receita!$S$2:$S$418,"44501B1ConvencionalResidencialResidencial baixa renda – faixa 04Não se aplicaNão se aplicaFora ponta",Mercado_Receita!$L$2:$L$418)+SUMIF(Mercado_Receita!$S$2:$S$418,"44501B1ConvencionalResidencialResidencial baixa renda – faixa 04Não se aplicaNão se aplicaIntermediário",Mercado_Receita!$L$2:$L$418)+SUMIF(Mercado_Receita!$S$2:$S$418,"44501B1ConvencionalResidencialResidencial baixa renda – faixa 04Não se aplicaNão se aplicaNão se aplica",Mercado_Receita!$L$2:$L$418)</f>
        <v>2.5819999999999999</v>
      </c>
      <c r="L21" s="13">
        <f>SUMIF(Mercado_Receita!$S$2:$S$418,"44531B1ConvencionalResidencialResidencial baixa renda – faixa 04Não se aplicaNão se aplicaPonta",Mercado_Receita!$L$2:$L$418)+SUMIF(Mercado_Receita!$S$2:$S$418,"44531B1ConvencionalResidencialResidencial baixa renda – faixa 04Não se aplicaNão se aplicaFora ponta",Mercado_Receita!$L$2:$L$418)+SUMIF(Mercado_Receita!$S$2:$S$418,"44531B1ConvencionalResidencialResidencial baixa renda – faixa 04Não se aplicaNão se aplicaIntermediário",Mercado_Receita!$L$2:$L$418)+SUMIF(Mercado_Receita!$S$2:$S$418,"44531B1ConvencionalResidencialResidencial baixa renda – faixa 04Não se aplicaNão se aplicaNão se aplica",Mercado_Receita!$L$2:$L$418)</f>
        <v>2.5059999999999998</v>
      </c>
      <c r="M21" s="13">
        <f>SUMIF(Mercado_Receita!$S$2:$S$418,"44562B1ConvencionalResidencialResidencial baixa renda – faixa 04Não se aplicaNão se aplicaPonta",Mercado_Receita!$L$2:$L$418)+SUMIF(Mercado_Receita!$S$2:$S$418,"44562B1ConvencionalResidencialResidencial baixa renda – faixa 04Não se aplicaNão se aplicaFora ponta",Mercado_Receita!$L$2:$L$418)+SUMIF(Mercado_Receita!$S$2:$S$418,"44562B1ConvencionalResidencialResidencial baixa renda – faixa 04Não se aplicaNão se aplicaIntermediário",Mercado_Receita!$L$2:$L$418)+SUMIF(Mercado_Receita!$S$2:$S$418,"44562B1ConvencionalResidencialResidencial baixa renda – faixa 04Não se aplicaNão se aplicaNão se aplica",Mercado_Receita!$L$2:$L$418)</f>
        <v>5.2519999999999998</v>
      </c>
      <c r="N21" s="13">
        <f>SUMIF(Mercado_Receita!$S$2:$S$418,"44593B1ConvencionalResidencialResidencial baixa renda – faixa 04Não se aplicaNão se aplicaPonta",Mercado_Receita!$L$2:$L$418)+SUMIF(Mercado_Receita!$S$2:$S$418,"44593B1ConvencionalResidencialResidencial baixa renda – faixa 04Não se aplicaNão se aplicaFora ponta",Mercado_Receita!$L$2:$L$418)+SUMIF(Mercado_Receita!$S$2:$S$418,"44593B1ConvencionalResidencialResidencial baixa renda – faixa 04Não se aplicaNão se aplicaIntermediário",Mercado_Receita!$L$2:$L$418)+SUMIF(Mercado_Receita!$S$2:$S$418,"44593B1ConvencionalResidencialResidencial baixa renda – faixa 04Não se aplicaNão se aplicaNão se aplica",Mercado_Receita!$L$2:$L$418)</f>
        <v>7.7409999999999997</v>
      </c>
      <c r="O21" s="13">
        <f>SUMIF(Mercado_Receita!$S$2:$S$418,"44621B1ConvencionalResidencialResidencial baixa renda – faixa 04Não se aplicaNão se aplicaPonta",Mercado_Receita!$L$2:$L$418)+SUMIF(Mercado_Receita!$S$2:$S$418,"44621B1ConvencionalResidencialResidencial baixa renda – faixa 04Não se aplicaNão se aplicaFora ponta",Mercado_Receita!$L$2:$L$418)+SUMIF(Mercado_Receita!$S$2:$S$418,"44621B1ConvencionalResidencialResidencial baixa renda – faixa 04Não se aplicaNão se aplicaIntermediário",Mercado_Receita!$L$2:$L$418)+SUMIF(Mercado_Receita!$S$2:$S$418,"44621B1ConvencionalResidencialResidencial baixa renda – faixa 04Não se aplicaNão se aplicaNão se aplica",Mercado_Receita!$L$2:$L$418)</f>
        <v>8.2520000000000007</v>
      </c>
      <c r="P21" s="13">
        <f>SUMIF(Mercado_Receita!$S$2:$S$418,"44652B1ConvencionalResidencialResidencial baixa renda – faixa 04Não se aplicaNão se aplicaPonta",Mercado_Receita!$L$2:$L$418)+SUMIF(Mercado_Receita!$S$2:$S$418,"44652B1ConvencionalResidencialResidencial baixa renda – faixa 04Não se aplicaNão se aplicaFora ponta",Mercado_Receita!$L$2:$L$418)+SUMIF(Mercado_Receita!$S$2:$S$418,"44652B1ConvencionalResidencialResidencial baixa renda – faixa 04Não se aplicaNão se aplicaIntermediário",Mercado_Receita!$L$2:$L$418)+SUMIF(Mercado_Receita!$S$2:$S$418,"44652B1ConvencionalResidencialResidencial baixa renda – faixa 04Não se aplicaNão se aplicaNão se aplica",Mercado_Receita!$L$2:$L$418)</f>
        <v>11.680999999999999</v>
      </c>
      <c r="Q21" s="13">
        <f>SUMIF(Mercado_Receita!$S$2:$S$418,"44682B1ConvencionalResidencialResidencial baixa renda – faixa 04Não se aplicaNão se aplicaPonta",Mercado_Receita!$L$2:$L$418)+SUMIF(Mercado_Receita!$S$2:$S$418,"44682B1ConvencionalResidencialResidencial baixa renda – faixa 04Não se aplicaNão se aplicaFora ponta",Mercado_Receita!$L$2:$L$418)+SUMIF(Mercado_Receita!$S$2:$S$418,"44682B1ConvencionalResidencialResidencial baixa renda – faixa 04Não se aplicaNão se aplicaIntermediário",Mercado_Receita!$L$2:$L$418)+SUMIF(Mercado_Receita!$S$2:$S$418,"44682B1ConvencionalResidencialResidencial baixa renda – faixa 04Não se aplicaNão se aplicaNão se aplica",Mercado_Receita!$L$2:$L$418)</f>
        <v>7.53</v>
      </c>
      <c r="R21" s="13">
        <f>SUMIF(Mercado_Receita!$S$2:$S$418,"44713B1ConvencionalResidencialResidencial baixa renda – faixa 04Não se aplicaNão se aplicaPonta",Mercado_Receita!$L$2:$L$418)+SUMIF(Mercado_Receita!$S$2:$S$418,"44713B1ConvencionalResidencialResidencial baixa renda – faixa 04Não se aplicaNão se aplicaFora ponta",Mercado_Receita!$L$2:$L$418)+SUMIF(Mercado_Receita!$S$2:$S$418,"44713B1ConvencionalResidencialResidencial baixa renda – faixa 04Não se aplicaNão se aplicaIntermediário",Mercado_Receita!$L$2:$L$418)+SUMIF(Mercado_Receita!$S$2:$S$418,"44713B1ConvencionalResidencialResidencial baixa renda – faixa 04Não se aplicaNão se aplicaNão se aplica",Mercado_Receita!$L$2:$L$418)</f>
        <v>8.8190000000000008</v>
      </c>
      <c r="S21" s="13">
        <f>SUMIF(Mercado_Receita!$S$2:$S$418,"44743B1ConvencionalResidencialResidencial baixa renda – faixa 04Não se aplicaNão se aplicaPonta",Mercado_Receita!$L$2:$L$418)+SUMIF(Mercado_Receita!$S$2:$S$418,"44743B1ConvencionalResidencialResidencial baixa renda – faixa 04Não se aplicaNão se aplicaFora ponta",Mercado_Receita!$L$2:$L$418)+SUMIF(Mercado_Receita!$S$2:$S$418,"44743B1ConvencionalResidencialResidencial baixa renda – faixa 04Não se aplicaNão se aplicaIntermediário",Mercado_Receita!$L$2:$L$418)+SUMIF(Mercado_Receita!$S$2:$S$418,"44743B1ConvencionalResidencialResidencial baixa renda – faixa 04Não se aplicaNão se aplicaNão se aplica",Mercado_Receita!$L$2:$L$418)</f>
        <v>5.0469999999999997</v>
      </c>
      <c r="T21" s="13">
        <f>SUMIF(Mercado_Receita!$S$2:$S$418,"44774B1ConvencionalResidencialResidencial baixa renda – faixa 04Não se aplicaNão se aplicaPonta",Mercado_Receita!$L$2:$L$418)+SUMIF(Mercado_Receita!$S$2:$S$418,"44774B1ConvencionalResidencialResidencial baixa renda – faixa 04Não se aplicaNão se aplicaFora ponta",Mercado_Receita!$L$2:$L$418)+SUMIF(Mercado_Receita!$S$2:$S$418,"44774B1ConvencionalResidencialResidencial baixa renda – faixa 04Não se aplicaNão se aplicaIntermediário",Mercado_Receita!$L$2:$L$418)+SUMIF(Mercado_Receita!$S$2:$S$418,"44774B1ConvencionalResidencialResidencial baixa renda – faixa 04Não se aplicaNão se aplicaNão se aplica",Mercado_Receita!$L$2:$L$418)</f>
        <v>6.5069999999999997</v>
      </c>
      <c r="U21" s="13">
        <f t="shared" si="0"/>
        <v>71.680000000000007</v>
      </c>
      <c r="V21" s="13"/>
      <c r="W21" s="13"/>
    </row>
    <row r="22" spans="1:23" ht="11.25" customHeight="1" x14ac:dyDescent="0.3">
      <c r="A22" s="77"/>
      <c r="B22" s="76" t="s">
        <v>85</v>
      </c>
      <c r="C22" s="76" t="s">
        <v>24</v>
      </c>
      <c r="D22" s="12" t="s">
        <v>24</v>
      </c>
      <c r="E22" s="12" t="s">
        <v>25</v>
      </c>
      <c r="F22" s="12" t="s">
        <v>25</v>
      </c>
      <c r="G22" s="13" t="s">
        <v>74</v>
      </c>
      <c r="H22" s="13" t="s">
        <v>70</v>
      </c>
      <c r="I22" s="13">
        <f>SUMIF(Mercado_Receita!$S$2:$S$418,"44440B1Convencional pré-pagamentoResidencialResidencialNão se aplicaNão se aplicaPonta",Mercado_Receita!$L$2:$L$418)+SUMIF(Mercado_Receita!$S$2:$S$418,"44440B1Convencional pré-pagamentoResidencialResidencialNão se aplicaNão se aplicaFora ponta",Mercado_Receita!$L$2:$L$418)+SUMIF(Mercado_Receita!$S$2:$S$418,"44440B1Convencional pré-pagamentoResidencialResidencialNão se aplicaNão se aplicaIntermediário",Mercado_Receita!$L$2:$L$418)+SUMIF(Mercado_Receita!$S$2:$S$418,"44440B1Convencional pré-pagamentoResidencialResidencialNão se aplicaNão se aplicaNão se aplica",Mercado_Receita!$L$2:$L$418)</f>
        <v>0</v>
      </c>
      <c r="J22" s="13">
        <f>SUMIF(Mercado_Receita!$S$2:$S$418,"44470B1Convencional pré-pagamentoResidencialResidencialNão se aplicaNão se aplicaPonta",Mercado_Receita!$L$2:$L$418)+SUMIF(Mercado_Receita!$S$2:$S$418,"44470B1Convencional pré-pagamentoResidencialResidencialNão se aplicaNão se aplicaFora ponta",Mercado_Receita!$L$2:$L$418)+SUMIF(Mercado_Receita!$S$2:$S$418,"44470B1Convencional pré-pagamentoResidencialResidencialNão se aplicaNão se aplicaIntermediário",Mercado_Receita!$L$2:$L$418)+SUMIF(Mercado_Receita!$S$2:$S$418,"44470B1Convencional pré-pagamentoResidencialResidencialNão se aplicaNão se aplicaNão se aplica",Mercado_Receita!$L$2:$L$418)</f>
        <v>0</v>
      </c>
      <c r="K22" s="13">
        <f>SUMIF(Mercado_Receita!$S$2:$S$418,"44501B1Convencional pré-pagamentoResidencialResidencialNão se aplicaNão se aplicaPonta",Mercado_Receita!$L$2:$L$418)+SUMIF(Mercado_Receita!$S$2:$S$418,"44501B1Convencional pré-pagamentoResidencialResidencialNão se aplicaNão se aplicaFora ponta",Mercado_Receita!$L$2:$L$418)+SUMIF(Mercado_Receita!$S$2:$S$418,"44501B1Convencional pré-pagamentoResidencialResidencialNão se aplicaNão se aplicaIntermediário",Mercado_Receita!$L$2:$L$418)+SUMIF(Mercado_Receita!$S$2:$S$418,"44501B1Convencional pré-pagamentoResidencialResidencialNão se aplicaNão se aplicaNão se aplica",Mercado_Receita!$L$2:$L$418)</f>
        <v>0</v>
      </c>
      <c r="L22" s="13">
        <f>SUMIF(Mercado_Receita!$S$2:$S$418,"44531B1Convencional pré-pagamentoResidencialResidencialNão se aplicaNão se aplicaPonta",Mercado_Receita!$L$2:$L$418)+SUMIF(Mercado_Receita!$S$2:$S$418,"44531B1Convencional pré-pagamentoResidencialResidencialNão se aplicaNão se aplicaFora ponta",Mercado_Receita!$L$2:$L$418)+SUMIF(Mercado_Receita!$S$2:$S$418,"44531B1Convencional pré-pagamentoResidencialResidencialNão se aplicaNão se aplicaIntermediário",Mercado_Receita!$L$2:$L$418)+SUMIF(Mercado_Receita!$S$2:$S$418,"44531B1Convencional pré-pagamentoResidencialResidencialNão se aplicaNão se aplicaNão se aplica",Mercado_Receita!$L$2:$L$418)</f>
        <v>0</v>
      </c>
      <c r="M22" s="13">
        <f>SUMIF(Mercado_Receita!$S$2:$S$418,"44562B1Convencional pré-pagamentoResidencialResidencialNão se aplicaNão se aplicaPonta",Mercado_Receita!$L$2:$L$418)+SUMIF(Mercado_Receita!$S$2:$S$418,"44562B1Convencional pré-pagamentoResidencialResidencialNão se aplicaNão se aplicaFora ponta",Mercado_Receita!$L$2:$L$418)+SUMIF(Mercado_Receita!$S$2:$S$418,"44562B1Convencional pré-pagamentoResidencialResidencialNão se aplicaNão se aplicaIntermediário",Mercado_Receita!$L$2:$L$418)+SUMIF(Mercado_Receita!$S$2:$S$418,"44562B1Convencional pré-pagamentoResidencialResidencialNão se aplicaNão se aplicaNão se aplica",Mercado_Receita!$L$2:$L$418)</f>
        <v>0</v>
      </c>
      <c r="N22" s="13">
        <f>SUMIF(Mercado_Receita!$S$2:$S$418,"44593B1Convencional pré-pagamentoResidencialResidencialNão se aplicaNão se aplicaPonta",Mercado_Receita!$L$2:$L$418)+SUMIF(Mercado_Receita!$S$2:$S$418,"44593B1Convencional pré-pagamentoResidencialResidencialNão se aplicaNão se aplicaFora ponta",Mercado_Receita!$L$2:$L$418)+SUMIF(Mercado_Receita!$S$2:$S$418,"44593B1Convencional pré-pagamentoResidencialResidencialNão se aplicaNão se aplicaIntermediário",Mercado_Receita!$L$2:$L$418)+SUMIF(Mercado_Receita!$S$2:$S$418,"44593B1Convencional pré-pagamentoResidencialResidencialNão se aplicaNão se aplicaNão se aplica",Mercado_Receita!$L$2:$L$418)</f>
        <v>0</v>
      </c>
      <c r="O22" s="13">
        <f>SUMIF(Mercado_Receita!$S$2:$S$418,"44621B1Convencional pré-pagamentoResidencialResidencialNão se aplicaNão se aplicaPonta",Mercado_Receita!$L$2:$L$418)+SUMIF(Mercado_Receita!$S$2:$S$418,"44621B1Convencional pré-pagamentoResidencialResidencialNão se aplicaNão se aplicaFora ponta",Mercado_Receita!$L$2:$L$418)+SUMIF(Mercado_Receita!$S$2:$S$418,"44621B1Convencional pré-pagamentoResidencialResidencialNão se aplicaNão se aplicaIntermediário",Mercado_Receita!$L$2:$L$418)+SUMIF(Mercado_Receita!$S$2:$S$418,"44621B1Convencional pré-pagamentoResidencialResidencialNão se aplicaNão se aplicaNão se aplica",Mercado_Receita!$L$2:$L$418)</f>
        <v>0</v>
      </c>
      <c r="P22" s="13">
        <f>SUMIF(Mercado_Receita!$S$2:$S$418,"44652B1Convencional pré-pagamentoResidencialResidencialNão se aplicaNão se aplicaPonta",Mercado_Receita!$L$2:$L$418)+SUMIF(Mercado_Receita!$S$2:$S$418,"44652B1Convencional pré-pagamentoResidencialResidencialNão se aplicaNão se aplicaFora ponta",Mercado_Receita!$L$2:$L$418)+SUMIF(Mercado_Receita!$S$2:$S$418,"44652B1Convencional pré-pagamentoResidencialResidencialNão se aplicaNão se aplicaIntermediário",Mercado_Receita!$L$2:$L$418)+SUMIF(Mercado_Receita!$S$2:$S$418,"44652B1Convencional pré-pagamentoResidencialResidencialNão se aplicaNão se aplicaNão se aplica",Mercado_Receita!$L$2:$L$418)</f>
        <v>0</v>
      </c>
      <c r="Q22" s="13">
        <f>SUMIF(Mercado_Receita!$S$2:$S$418,"44682B1Convencional pré-pagamentoResidencialResidencialNão se aplicaNão se aplicaPonta",Mercado_Receita!$L$2:$L$418)+SUMIF(Mercado_Receita!$S$2:$S$418,"44682B1Convencional pré-pagamentoResidencialResidencialNão se aplicaNão se aplicaFora ponta",Mercado_Receita!$L$2:$L$418)+SUMIF(Mercado_Receita!$S$2:$S$418,"44682B1Convencional pré-pagamentoResidencialResidencialNão se aplicaNão se aplicaIntermediário",Mercado_Receita!$L$2:$L$418)+SUMIF(Mercado_Receita!$S$2:$S$418,"44682B1Convencional pré-pagamentoResidencialResidencialNão se aplicaNão se aplicaNão se aplica",Mercado_Receita!$L$2:$L$418)</f>
        <v>0</v>
      </c>
      <c r="R22" s="13">
        <f>SUMIF(Mercado_Receita!$S$2:$S$418,"44713B1Convencional pré-pagamentoResidencialResidencialNão se aplicaNão se aplicaPonta",Mercado_Receita!$L$2:$L$418)+SUMIF(Mercado_Receita!$S$2:$S$418,"44713B1Convencional pré-pagamentoResidencialResidencialNão se aplicaNão se aplicaFora ponta",Mercado_Receita!$L$2:$L$418)+SUMIF(Mercado_Receita!$S$2:$S$418,"44713B1Convencional pré-pagamentoResidencialResidencialNão se aplicaNão se aplicaIntermediário",Mercado_Receita!$L$2:$L$418)+SUMIF(Mercado_Receita!$S$2:$S$418,"44713B1Convencional pré-pagamentoResidencialResidencialNão se aplicaNão se aplicaNão se aplica",Mercado_Receita!$L$2:$L$418)</f>
        <v>0</v>
      </c>
      <c r="S22" s="13">
        <f>SUMIF(Mercado_Receita!$S$2:$S$418,"44743B1Convencional pré-pagamentoResidencialResidencialNão se aplicaNão se aplicaPonta",Mercado_Receita!$L$2:$L$418)+SUMIF(Mercado_Receita!$S$2:$S$418,"44743B1Convencional pré-pagamentoResidencialResidencialNão se aplicaNão se aplicaFora ponta",Mercado_Receita!$L$2:$L$418)+SUMIF(Mercado_Receita!$S$2:$S$418,"44743B1Convencional pré-pagamentoResidencialResidencialNão se aplicaNão se aplicaIntermediário",Mercado_Receita!$L$2:$L$418)+SUMIF(Mercado_Receita!$S$2:$S$418,"44743B1Convencional pré-pagamentoResidencialResidencialNão se aplicaNão se aplicaNão se aplica",Mercado_Receita!$L$2:$L$418)</f>
        <v>0</v>
      </c>
      <c r="T22" s="13">
        <f>SUMIF(Mercado_Receita!$S$2:$S$418,"44774B1Convencional pré-pagamentoResidencialResidencialNão se aplicaNão se aplicaPonta",Mercado_Receita!$L$2:$L$418)+SUMIF(Mercado_Receita!$S$2:$S$418,"44774B1Convencional pré-pagamentoResidencialResidencialNão se aplicaNão se aplicaFora ponta",Mercado_Receita!$L$2:$L$418)+SUMIF(Mercado_Receita!$S$2:$S$418,"44774B1Convencional pré-pagamentoResidencialResidencialNão se aplicaNão se aplicaIntermediário",Mercado_Receita!$L$2:$L$418)+SUMIF(Mercado_Receita!$S$2:$S$418,"44774B1Convencional pré-pagamentoResidencialResidencialNão se aplicaNão se aplicaNão se aplica",Mercado_Receita!$L$2:$L$418)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77"/>
      <c r="B23" s="77"/>
      <c r="C23" s="77"/>
      <c r="D23" s="12" t="s">
        <v>29</v>
      </c>
      <c r="E23" s="12" t="s">
        <v>25</v>
      </c>
      <c r="F23" s="12" t="s">
        <v>25</v>
      </c>
      <c r="G23" s="13" t="s">
        <v>74</v>
      </c>
      <c r="H23" s="13" t="s">
        <v>70</v>
      </c>
      <c r="I23" s="13">
        <f>SUMIF(Mercado_Receita!$S$2:$S$418,"44440B1Convencional pré-pagamentoResidencialResidencial baixa renda – faixa 01Não se aplicaNão se aplicaPonta",Mercado_Receita!$L$2:$L$418)+SUMIF(Mercado_Receita!$S$2:$S$418,"44440B1Convencional pré-pagamentoResidencialResidencial baixa renda – faixa 01Não se aplicaNão se aplicaFora ponta",Mercado_Receita!$L$2:$L$418)+SUMIF(Mercado_Receita!$S$2:$S$418,"44440B1Convencional pré-pagamentoResidencialResidencial baixa renda – faixa 01Não se aplicaNão se aplicaIntermediário",Mercado_Receita!$L$2:$L$418)+SUMIF(Mercado_Receita!$S$2:$S$418,"44440B1Convencional pré-pagamentoResidencialResidencial baixa renda – faixa 01Não se aplicaNão se aplicaNão se aplica",Mercado_Receita!$L$2:$L$418)</f>
        <v>0</v>
      </c>
      <c r="J23" s="13">
        <f>SUMIF(Mercado_Receita!$S$2:$S$418,"44470B1Convencional pré-pagamentoResidencialResidencial baixa renda – faixa 01Não se aplicaNão se aplicaPonta",Mercado_Receita!$L$2:$L$418)+SUMIF(Mercado_Receita!$S$2:$S$418,"44470B1Convencional pré-pagamentoResidencialResidencial baixa renda – faixa 01Não se aplicaNão se aplicaFora ponta",Mercado_Receita!$L$2:$L$418)+SUMIF(Mercado_Receita!$S$2:$S$418,"44470B1Convencional pré-pagamentoResidencialResidencial baixa renda – faixa 01Não se aplicaNão se aplicaIntermediário",Mercado_Receita!$L$2:$L$418)+SUMIF(Mercado_Receita!$S$2:$S$418,"44470B1Convencional pré-pagamentoResidencialResidencial baixa renda – faixa 01Não se aplicaNão se aplicaNão se aplica",Mercado_Receita!$L$2:$L$418)</f>
        <v>0</v>
      </c>
      <c r="K23" s="13">
        <f>SUMIF(Mercado_Receita!$S$2:$S$418,"44501B1Convencional pré-pagamentoResidencialResidencial baixa renda – faixa 01Não se aplicaNão se aplicaPonta",Mercado_Receita!$L$2:$L$418)+SUMIF(Mercado_Receita!$S$2:$S$418,"44501B1Convencional pré-pagamentoResidencialResidencial baixa renda – faixa 01Não se aplicaNão se aplicaFora ponta",Mercado_Receita!$L$2:$L$418)+SUMIF(Mercado_Receita!$S$2:$S$418,"44501B1Convencional pré-pagamentoResidencialResidencial baixa renda – faixa 01Não se aplicaNão se aplicaIntermediário",Mercado_Receita!$L$2:$L$418)+SUMIF(Mercado_Receita!$S$2:$S$418,"44501B1Convencional pré-pagamentoResidencialResidencial baixa renda – faixa 01Não se aplicaNão se aplicaNão se aplica",Mercado_Receita!$L$2:$L$418)</f>
        <v>0</v>
      </c>
      <c r="L23" s="13">
        <f>SUMIF(Mercado_Receita!$S$2:$S$418,"44531B1Convencional pré-pagamentoResidencialResidencial baixa renda – faixa 01Não se aplicaNão se aplicaPonta",Mercado_Receita!$L$2:$L$418)+SUMIF(Mercado_Receita!$S$2:$S$418,"44531B1Convencional pré-pagamentoResidencialResidencial baixa renda – faixa 01Não se aplicaNão se aplicaFora ponta",Mercado_Receita!$L$2:$L$418)+SUMIF(Mercado_Receita!$S$2:$S$418,"44531B1Convencional pré-pagamentoResidencialResidencial baixa renda – faixa 01Não se aplicaNão se aplicaIntermediário",Mercado_Receita!$L$2:$L$418)+SUMIF(Mercado_Receita!$S$2:$S$418,"44531B1Convencional pré-pagamentoResidencialResidencial baixa renda – faixa 01Não se aplicaNão se aplicaNão se aplica",Mercado_Receita!$L$2:$L$418)</f>
        <v>0</v>
      </c>
      <c r="M23" s="13">
        <f>SUMIF(Mercado_Receita!$S$2:$S$418,"44562B1Convencional pré-pagamentoResidencialResidencial baixa renda – faixa 01Não se aplicaNão se aplicaPonta",Mercado_Receita!$L$2:$L$418)+SUMIF(Mercado_Receita!$S$2:$S$418,"44562B1Convencional pré-pagamentoResidencialResidencial baixa renda – faixa 01Não se aplicaNão se aplicaFora ponta",Mercado_Receita!$L$2:$L$418)+SUMIF(Mercado_Receita!$S$2:$S$418,"44562B1Convencional pré-pagamentoResidencialResidencial baixa renda – faixa 01Não se aplicaNão se aplicaIntermediário",Mercado_Receita!$L$2:$L$418)+SUMIF(Mercado_Receita!$S$2:$S$418,"44562B1Convencional pré-pagamentoResidencialResidencial baixa renda – faixa 01Não se aplicaNão se aplicaNão se aplica",Mercado_Receita!$L$2:$L$418)</f>
        <v>0</v>
      </c>
      <c r="N23" s="13">
        <f>SUMIF(Mercado_Receita!$S$2:$S$418,"44593B1Convencional pré-pagamentoResidencialResidencial baixa renda – faixa 01Não se aplicaNão se aplicaPonta",Mercado_Receita!$L$2:$L$418)+SUMIF(Mercado_Receita!$S$2:$S$418,"44593B1Convencional pré-pagamentoResidencialResidencial baixa renda – faixa 01Não se aplicaNão se aplicaFora ponta",Mercado_Receita!$L$2:$L$418)+SUMIF(Mercado_Receita!$S$2:$S$418,"44593B1Convencional pré-pagamentoResidencialResidencial baixa renda – faixa 01Não se aplicaNão se aplicaIntermediário",Mercado_Receita!$L$2:$L$418)+SUMIF(Mercado_Receita!$S$2:$S$418,"44593B1Convencional pré-pagamentoResidencialResidencial baixa renda – faixa 01Não se aplicaNão se aplicaNão se aplica",Mercado_Receita!$L$2:$L$418)</f>
        <v>0</v>
      </c>
      <c r="O23" s="13">
        <f>SUMIF(Mercado_Receita!$S$2:$S$418,"44621B1Convencional pré-pagamentoResidencialResidencial baixa renda – faixa 01Não se aplicaNão se aplicaPonta",Mercado_Receita!$L$2:$L$418)+SUMIF(Mercado_Receita!$S$2:$S$418,"44621B1Convencional pré-pagamentoResidencialResidencial baixa renda – faixa 01Não se aplicaNão se aplicaFora ponta",Mercado_Receita!$L$2:$L$418)+SUMIF(Mercado_Receita!$S$2:$S$418,"44621B1Convencional pré-pagamentoResidencialResidencial baixa renda – faixa 01Não se aplicaNão se aplicaIntermediário",Mercado_Receita!$L$2:$L$418)+SUMIF(Mercado_Receita!$S$2:$S$418,"44621B1Convencional pré-pagamentoResidencialResidencial baixa renda – faixa 01Não se aplicaNão se aplicaNão se aplica",Mercado_Receita!$L$2:$L$418)</f>
        <v>0</v>
      </c>
      <c r="P23" s="13">
        <f>SUMIF(Mercado_Receita!$S$2:$S$418,"44652B1Convencional pré-pagamentoResidencialResidencial baixa renda – faixa 01Não se aplicaNão se aplicaPonta",Mercado_Receita!$L$2:$L$418)+SUMIF(Mercado_Receita!$S$2:$S$418,"44652B1Convencional pré-pagamentoResidencialResidencial baixa renda – faixa 01Não se aplicaNão se aplicaFora ponta",Mercado_Receita!$L$2:$L$418)+SUMIF(Mercado_Receita!$S$2:$S$418,"44652B1Convencional pré-pagamentoResidencialResidencial baixa renda – faixa 01Não se aplicaNão se aplicaIntermediário",Mercado_Receita!$L$2:$L$418)+SUMIF(Mercado_Receita!$S$2:$S$418,"44652B1Convencional pré-pagamentoResidencialResidencial baixa renda – faixa 01Não se aplicaNão se aplicaNão se aplica",Mercado_Receita!$L$2:$L$418)</f>
        <v>0</v>
      </c>
      <c r="Q23" s="13">
        <f>SUMIF(Mercado_Receita!$S$2:$S$418,"44682B1Convencional pré-pagamentoResidencialResidencial baixa renda – faixa 01Não se aplicaNão se aplicaPonta",Mercado_Receita!$L$2:$L$418)+SUMIF(Mercado_Receita!$S$2:$S$418,"44682B1Convencional pré-pagamentoResidencialResidencial baixa renda – faixa 01Não se aplicaNão se aplicaFora ponta",Mercado_Receita!$L$2:$L$418)+SUMIF(Mercado_Receita!$S$2:$S$418,"44682B1Convencional pré-pagamentoResidencialResidencial baixa renda – faixa 01Não se aplicaNão se aplicaIntermediário",Mercado_Receita!$L$2:$L$418)+SUMIF(Mercado_Receita!$S$2:$S$418,"44682B1Convencional pré-pagamentoResidencialResidencial baixa renda – faixa 01Não se aplicaNão se aplicaNão se aplica",Mercado_Receita!$L$2:$L$418)</f>
        <v>0</v>
      </c>
      <c r="R23" s="13">
        <f>SUMIF(Mercado_Receita!$S$2:$S$418,"44713B1Convencional pré-pagamentoResidencialResidencial baixa renda – faixa 01Não se aplicaNão se aplicaPonta",Mercado_Receita!$L$2:$L$418)+SUMIF(Mercado_Receita!$S$2:$S$418,"44713B1Convencional pré-pagamentoResidencialResidencial baixa renda – faixa 01Não se aplicaNão se aplicaFora ponta",Mercado_Receita!$L$2:$L$418)+SUMIF(Mercado_Receita!$S$2:$S$418,"44713B1Convencional pré-pagamentoResidencialResidencial baixa renda – faixa 01Não se aplicaNão se aplicaIntermediário",Mercado_Receita!$L$2:$L$418)+SUMIF(Mercado_Receita!$S$2:$S$418,"44713B1Convencional pré-pagamentoResidencialResidencial baixa renda – faixa 01Não se aplicaNão se aplicaNão se aplica",Mercado_Receita!$L$2:$L$418)</f>
        <v>0</v>
      </c>
      <c r="S23" s="13">
        <f>SUMIF(Mercado_Receita!$S$2:$S$418,"44743B1Convencional pré-pagamentoResidencialResidencial baixa renda – faixa 01Não se aplicaNão se aplicaPonta",Mercado_Receita!$L$2:$L$418)+SUMIF(Mercado_Receita!$S$2:$S$418,"44743B1Convencional pré-pagamentoResidencialResidencial baixa renda – faixa 01Não se aplicaNão se aplicaFora ponta",Mercado_Receita!$L$2:$L$418)+SUMIF(Mercado_Receita!$S$2:$S$418,"44743B1Convencional pré-pagamentoResidencialResidencial baixa renda – faixa 01Não se aplicaNão se aplicaIntermediário",Mercado_Receita!$L$2:$L$418)+SUMIF(Mercado_Receita!$S$2:$S$418,"44743B1Convencional pré-pagamentoResidencialResidencial baixa renda – faixa 01Não se aplicaNão se aplicaNão se aplica",Mercado_Receita!$L$2:$L$418)</f>
        <v>0</v>
      </c>
      <c r="T23" s="13">
        <f>SUMIF(Mercado_Receita!$S$2:$S$418,"44774B1Convencional pré-pagamentoResidencialResidencial baixa renda – faixa 01Não se aplicaNão se aplicaPonta",Mercado_Receita!$L$2:$L$418)+SUMIF(Mercado_Receita!$S$2:$S$418,"44774B1Convencional pré-pagamentoResidencialResidencial baixa renda – faixa 01Não se aplicaNão se aplicaFora ponta",Mercado_Receita!$L$2:$L$418)+SUMIF(Mercado_Receita!$S$2:$S$418,"44774B1Convencional pré-pagamentoResidencialResidencial baixa renda – faixa 01Não se aplicaNão se aplicaIntermediário",Mercado_Receita!$L$2:$L$418)+SUMIF(Mercado_Receita!$S$2:$S$418,"44774B1Convencional pré-pagamentoResidencialResidencial baixa renda – faixa 01Não se aplicaNão se aplicaNão se aplica",Mercado_Receita!$L$2:$L$418)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77"/>
      <c r="B24" s="77"/>
      <c r="C24" s="77"/>
      <c r="D24" s="12" t="s">
        <v>30</v>
      </c>
      <c r="E24" s="12" t="s">
        <v>25</v>
      </c>
      <c r="F24" s="12" t="s">
        <v>25</v>
      </c>
      <c r="G24" s="13" t="s">
        <v>74</v>
      </c>
      <c r="H24" s="13" t="s">
        <v>70</v>
      </c>
      <c r="I24" s="13">
        <f>SUMIF(Mercado_Receita!$S$2:$S$418,"44440B1Convencional pré-pagamentoResidencialResidencial baixa renda – faixa 02Não se aplicaNão se aplicaPonta",Mercado_Receita!$L$2:$L$418)+SUMIF(Mercado_Receita!$S$2:$S$418,"44440B1Convencional pré-pagamentoResidencialResidencial baixa renda – faixa 02Não se aplicaNão se aplicaFora ponta",Mercado_Receita!$L$2:$L$418)+SUMIF(Mercado_Receita!$S$2:$S$418,"44440B1Convencional pré-pagamentoResidencialResidencial baixa renda – faixa 02Não se aplicaNão se aplicaIntermediário",Mercado_Receita!$L$2:$L$418)+SUMIF(Mercado_Receita!$S$2:$S$418,"44440B1Convencional pré-pagamentoResidencialResidencial baixa renda – faixa 02Não se aplicaNão se aplicaNão se aplica",Mercado_Receita!$L$2:$L$418)</f>
        <v>0</v>
      </c>
      <c r="J24" s="13">
        <f>SUMIF(Mercado_Receita!$S$2:$S$418,"44470B1Convencional pré-pagamentoResidencialResidencial baixa renda – faixa 02Não se aplicaNão se aplicaPonta",Mercado_Receita!$L$2:$L$418)+SUMIF(Mercado_Receita!$S$2:$S$418,"44470B1Convencional pré-pagamentoResidencialResidencial baixa renda – faixa 02Não se aplicaNão se aplicaFora ponta",Mercado_Receita!$L$2:$L$418)+SUMIF(Mercado_Receita!$S$2:$S$418,"44470B1Convencional pré-pagamentoResidencialResidencial baixa renda – faixa 02Não se aplicaNão se aplicaIntermediário",Mercado_Receita!$L$2:$L$418)+SUMIF(Mercado_Receita!$S$2:$S$418,"44470B1Convencional pré-pagamentoResidencialResidencial baixa renda – faixa 02Não se aplicaNão se aplicaNão se aplica",Mercado_Receita!$L$2:$L$418)</f>
        <v>0</v>
      </c>
      <c r="K24" s="13">
        <f>SUMIF(Mercado_Receita!$S$2:$S$418,"44501B1Convencional pré-pagamentoResidencialResidencial baixa renda – faixa 02Não se aplicaNão se aplicaPonta",Mercado_Receita!$L$2:$L$418)+SUMIF(Mercado_Receita!$S$2:$S$418,"44501B1Convencional pré-pagamentoResidencialResidencial baixa renda – faixa 02Não se aplicaNão se aplicaFora ponta",Mercado_Receita!$L$2:$L$418)+SUMIF(Mercado_Receita!$S$2:$S$418,"44501B1Convencional pré-pagamentoResidencialResidencial baixa renda – faixa 02Não se aplicaNão se aplicaIntermediário",Mercado_Receita!$L$2:$L$418)+SUMIF(Mercado_Receita!$S$2:$S$418,"44501B1Convencional pré-pagamentoResidencialResidencial baixa renda – faixa 02Não se aplicaNão se aplicaNão se aplica",Mercado_Receita!$L$2:$L$418)</f>
        <v>0</v>
      </c>
      <c r="L24" s="13">
        <f>SUMIF(Mercado_Receita!$S$2:$S$418,"44531B1Convencional pré-pagamentoResidencialResidencial baixa renda – faixa 02Não se aplicaNão se aplicaPonta",Mercado_Receita!$L$2:$L$418)+SUMIF(Mercado_Receita!$S$2:$S$418,"44531B1Convencional pré-pagamentoResidencialResidencial baixa renda – faixa 02Não se aplicaNão se aplicaFora ponta",Mercado_Receita!$L$2:$L$418)+SUMIF(Mercado_Receita!$S$2:$S$418,"44531B1Convencional pré-pagamentoResidencialResidencial baixa renda – faixa 02Não se aplicaNão se aplicaIntermediário",Mercado_Receita!$L$2:$L$418)+SUMIF(Mercado_Receita!$S$2:$S$418,"44531B1Convencional pré-pagamentoResidencialResidencial baixa renda – faixa 02Não se aplicaNão se aplicaNão se aplica",Mercado_Receita!$L$2:$L$418)</f>
        <v>0</v>
      </c>
      <c r="M24" s="13">
        <f>SUMIF(Mercado_Receita!$S$2:$S$418,"44562B1Convencional pré-pagamentoResidencialResidencial baixa renda – faixa 02Não se aplicaNão se aplicaPonta",Mercado_Receita!$L$2:$L$418)+SUMIF(Mercado_Receita!$S$2:$S$418,"44562B1Convencional pré-pagamentoResidencialResidencial baixa renda – faixa 02Não se aplicaNão se aplicaFora ponta",Mercado_Receita!$L$2:$L$418)+SUMIF(Mercado_Receita!$S$2:$S$418,"44562B1Convencional pré-pagamentoResidencialResidencial baixa renda – faixa 02Não se aplicaNão se aplicaIntermediário",Mercado_Receita!$L$2:$L$418)+SUMIF(Mercado_Receita!$S$2:$S$418,"44562B1Convencional pré-pagamentoResidencialResidencial baixa renda – faixa 02Não se aplicaNão se aplicaNão se aplica",Mercado_Receita!$L$2:$L$418)</f>
        <v>0</v>
      </c>
      <c r="N24" s="13">
        <f>SUMIF(Mercado_Receita!$S$2:$S$418,"44593B1Convencional pré-pagamentoResidencialResidencial baixa renda – faixa 02Não se aplicaNão se aplicaPonta",Mercado_Receita!$L$2:$L$418)+SUMIF(Mercado_Receita!$S$2:$S$418,"44593B1Convencional pré-pagamentoResidencialResidencial baixa renda – faixa 02Não se aplicaNão se aplicaFora ponta",Mercado_Receita!$L$2:$L$418)+SUMIF(Mercado_Receita!$S$2:$S$418,"44593B1Convencional pré-pagamentoResidencialResidencial baixa renda – faixa 02Não se aplicaNão se aplicaIntermediário",Mercado_Receita!$L$2:$L$418)+SUMIF(Mercado_Receita!$S$2:$S$418,"44593B1Convencional pré-pagamentoResidencialResidencial baixa renda – faixa 02Não se aplicaNão se aplicaNão se aplica",Mercado_Receita!$L$2:$L$418)</f>
        <v>0</v>
      </c>
      <c r="O24" s="13">
        <f>SUMIF(Mercado_Receita!$S$2:$S$418,"44621B1Convencional pré-pagamentoResidencialResidencial baixa renda – faixa 02Não se aplicaNão se aplicaPonta",Mercado_Receita!$L$2:$L$418)+SUMIF(Mercado_Receita!$S$2:$S$418,"44621B1Convencional pré-pagamentoResidencialResidencial baixa renda – faixa 02Não se aplicaNão se aplicaFora ponta",Mercado_Receita!$L$2:$L$418)+SUMIF(Mercado_Receita!$S$2:$S$418,"44621B1Convencional pré-pagamentoResidencialResidencial baixa renda – faixa 02Não se aplicaNão se aplicaIntermediário",Mercado_Receita!$L$2:$L$418)+SUMIF(Mercado_Receita!$S$2:$S$418,"44621B1Convencional pré-pagamentoResidencialResidencial baixa renda – faixa 02Não se aplicaNão se aplicaNão se aplica",Mercado_Receita!$L$2:$L$418)</f>
        <v>0</v>
      </c>
      <c r="P24" s="13">
        <f>SUMIF(Mercado_Receita!$S$2:$S$418,"44652B1Convencional pré-pagamentoResidencialResidencial baixa renda – faixa 02Não se aplicaNão se aplicaPonta",Mercado_Receita!$L$2:$L$418)+SUMIF(Mercado_Receita!$S$2:$S$418,"44652B1Convencional pré-pagamentoResidencialResidencial baixa renda – faixa 02Não se aplicaNão se aplicaFora ponta",Mercado_Receita!$L$2:$L$418)+SUMIF(Mercado_Receita!$S$2:$S$418,"44652B1Convencional pré-pagamentoResidencialResidencial baixa renda – faixa 02Não se aplicaNão se aplicaIntermediário",Mercado_Receita!$L$2:$L$418)+SUMIF(Mercado_Receita!$S$2:$S$418,"44652B1Convencional pré-pagamentoResidencialResidencial baixa renda – faixa 02Não se aplicaNão se aplicaNão se aplica",Mercado_Receita!$L$2:$L$418)</f>
        <v>0</v>
      </c>
      <c r="Q24" s="13">
        <f>SUMIF(Mercado_Receita!$S$2:$S$418,"44682B1Convencional pré-pagamentoResidencialResidencial baixa renda – faixa 02Não se aplicaNão se aplicaPonta",Mercado_Receita!$L$2:$L$418)+SUMIF(Mercado_Receita!$S$2:$S$418,"44682B1Convencional pré-pagamentoResidencialResidencial baixa renda – faixa 02Não se aplicaNão se aplicaFora ponta",Mercado_Receita!$L$2:$L$418)+SUMIF(Mercado_Receita!$S$2:$S$418,"44682B1Convencional pré-pagamentoResidencialResidencial baixa renda – faixa 02Não se aplicaNão se aplicaIntermediário",Mercado_Receita!$L$2:$L$418)+SUMIF(Mercado_Receita!$S$2:$S$418,"44682B1Convencional pré-pagamentoResidencialResidencial baixa renda – faixa 02Não se aplicaNão se aplicaNão se aplica",Mercado_Receita!$L$2:$L$418)</f>
        <v>0</v>
      </c>
      <c r="R24" s="13">
        <f>SUMIF(Mercado_Receita!$S$2:$S$418,"44713B1Convencional pré-pagamentoResidencialResidencial baixa renda – faixa 02Não se aplicaNão se aplicaPonta",Mercado_Receita!$L$2:$L$418)+SUMIF(Mercado_Receita!$S$2:$S$418,"44713B1Convencional pré-pagamentoResidencialResidencial baixa renda – faixa 02Não se aplicaNão se aplicaFora ponta",Mercado_Receita!$L$2:$L$418)+SUMIF(Mercado_Receita!$S$2:$S$418,"44713B1Convencional pré-pagamentoResidencialResidencial baixa renda – faixa 02Não se aplicaNão se aplicaIntermediário",Mercado_Receita!$L$2:$L$418)+SUMIF(Mercado_Receita!$S$2:$S$418,"44713B1Convencional pré-pagamentoResidencialResidencial baixa renda – faixa 02Não se aplicaNão se aplicaNão se aplica",Mercado_Receita!$L$2:$L$418)</f>
        <v>0</v>
      </c>
      <c r="S24" s="13">
        <f>SUMIF(Mercado_Receita!$S$2:$S$418,"44743B1Convencional pré-pagamentoResidencialResidencial baixa renda – faixa 02Não se aplicaNão se aplicaPonta",Mercado_Receita!$L$2:$L$418)+SUMIF(Mercado_Receita!$S$2:$S$418,"44743B1Convencional pré-pagamentoResidencialResidencial baixa renda – faixa 02Não se aplicaNão se aplicaFora ponta",Mercado_Receita!$L$2:$L$418)+SUMIF(Mercado_Receita!$S$2:$S$418,"44743B1Convencional pré-pagamentoResidencialResidencial baixa renda – faixa 02Não se aplicaNão se aplicaIntermediário",Mercado_Receita!$L$2:$L$418)+SUMIF(Mercado_Receita!$S$2:$S$418,"44743B1Convencional pré-pagamentoResidencialResidencial baixa renda – faixa 02Não se aplicaNão se aplicaNão se aplica",Mercado_Receita!$L$2:$L$418)</f>
        <v>0</v>
      </c>
      <c r="T24" s="13">
        <f>SUMIF(Mercado_Receita!$S$2:$S$418,"44774B1Convencional pré-pagamentoResidencialResidencial baixa renda – faixa 02Não se aplicaNão se aplicaPonta",Mercado_Receita!$L$2:$L$418)+SUMIF(Mercado_Receita!$S$2:$S$418,"44774B1Convencional pré-pagamentoResidencialResidencial baixa renda – faixa 02Não se aplicaNão se aplicaFora ponta",Mercado_Receita!$L$2:$L$418)+SUMIF(Mercado_Receita!$S$2:$S$418,"44774B1Convencional pré-pagamentoResidencialResidencial baixa renda – faixa 02Não se aplicaNão se aplicaIntermediário",Mercado_Receita!$L$2:$L$418)+SUMIF(Mercado_Receita!$S$2:$S$418,"44774B1Convencional pré-pagamentoResidencialResidencial baixa renda – faixa 02Não se aplicaNão se aplicaNão se aplica",Mercado_Receita!$L$2:$L$418)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77"/>
      <c r="B25" s="77"/>
      <c r="C25" s="77"/>
      <c r="D25" s="12" t="s">
        <v>31</v>
      </c>
      <c r="E25" s="12" t="s">
        <v>25</v>
      </c>
      <c r="F25" s="12" t="s">
        <v>25</v>
      </c>
      <c r="G25" s="13" t="s">
        <v>74</v>
      </c>
      <c r="H25" s="13" t="s">
        <v>70</v>
      </c>
      <c r="I25" s="13">
        <f>SUMIF(Mercado_Receita!$S$2:$S$418,"44440B1Convencional pré-pagamentoResidencialResidencial baixa renda – faixa 03Não se aplicaNão se aplicaPonta",Mercado_Receita!$L$2:$L$418)+SUMIF(Mercado_Receita!$S$2:$S$418,"44440B1Convencional pré-pagamentoResidencialResidencial baixa renda – faixa 03Não se aplicaNão se aplicaFora ponta",Mercado_Receita!$L$2:$L$418)+SUMIF(Mercado_Receita!$S$2:$S$418,"44440B1Convencional pré-pagamentoResidencialResidencial baixa renda – faixa 03Não se aplicaNão se aplicaIntermediário",Mercado_Receita!$L$2:$L$418)+SUMIF(Mercado_Receita!$S$2:$S$418,"44440B1Convencional pré-pagamentoResidencialResidencial baixa renda – faixa 03Não se aplicaNão se aplicaNão se aplica",Mercado_Receita!$L$2:$L$418)</f>
        <v>0</v>
      </c>
      <c r="J25" s="13">
        <f>SUMIF(Mercado_Receita!$S$2:$S$418,"44470B1Convencional pré-pagamentoResidencialResidencial baixa renda – faixa 03Não se aplicaNão se aplicaPonta",Mercado_Receita!$L$2:$L$418)+SUMIF(Mercado_Receita!$S$2:$S$418,"44470B1Convencional pré-pagamentoResidencialResidencial baixa renda – faixa 03Não se aplicaNão se aplicaFora ponta",Mercado_Receita!$L$2:$L$418)+SUMIF(Mercado_Receita!$S$2:$S$418,"44470B1Convencional pré-pagamentoResidencialResidencial baixa renda – faixa 03Não se aplicaNão se aplicaIntermediário",Mercado_Receita!$L$2:$L$418)+SUMIF(Mercado_Receita!$S$2:$S$418,"44470B1Convencional pré-pagamentoResidencialResidencial baixa renda – faixa 03Não se aplicaNão se aplicaNão se aplica",Mercado_Receita!$L$2:$L$418)</f>
        <v>0</v>
      </c>
      <c r="K25" s="13">
        <f>SUMIF(Mercado_Receita!$S$2:$S$418,"44501B1Convencional pré-pagamentoResidencialResidencial baixa renda – faixa 03Não se aplicaNão se aplicaPonta",Mercado_Receita!$L$2:$L$418)+SUMIF(Mercado_Receita!$S$2:$S$418,"44501B1Convencional pré-pagamentoResidencialResidencial baixa renda – faixa 03Não se aplicaNão se aplicaFora ponta",Mercado_Receita!$L$2:$L$418)+SUMIF(Mercado_Receita!$S$2:$S$418,"44501B1Convencional pré-pagamentoResidencialResidencial baixa renda – faixa 03Não se aplicaNão se aplicaIntermediário",Mercado_Receita!$L$2:$L$418)+SUMIF(Mercado_Receita!$S$2:$S$418,"44501B1Convencional pré-pagamentoResidencialResidencial baixa renda – faixa 03Não se aplicaNão se aplicaNão se aplica",Mercado_Receita!$L$2:$L$418)</f>
        <v>0</v>
      </c>
      <c r="L25" s="13">
        <f>SUMIF(Mercado_Receita!$S$2:$S$418,"44531B1Convencional pré-pagamentoResidencialResidencial baixa renda – faixa 03Não se aplicaNão se aplicaPonta",Mercado_Receita!$L$2:$L$418)+SUMIF(Mercado_Receita!$S$2:$S$418,"44531B1Convencional pré-pagamentoResidencialResidencial baixa renda – faixa 03Não se aplicaNão se aplicaFora ponta",Mercado_Receita!$L$2:$L$418)+SUMIF(Mercado_Receita!$S$2:$S$418,"44531B1Convencional pré-pagamentoResidencialResidencial baixa renda – faixa 03Não se aplicaNão se aplicaIntermediário",Mercado_Receita!$L$2:$L$418)+SUMIF(Mercado_Receita!$S$2:$S$418,"44531B1Convencional pré-pagamentoResidencialResidencial baixa renda – faixa 03Não se aplicaNão se aplicaNão se aplica",Mercado_Receita!$L$2:$L$418)</f>
        <v>0</v>
      </c>
      <c r="M25" s="13">
        <f>SUMIF(Mercado_Receita!$S$2:$S$418,"44562B1Convencional pré-pagamentoResidencialResidencial baixa renda – faixa 03Não se aplicaNão se aplicaPonta",Mercado_Receita!$L$2:$L$418)+SUMIF(Mercado_Receita!$S$2:$S$418,"44562B1Convencional pré-pagamentoResidencialResidencial baixa renda – faixa 03Não se aplicaNão se aplicaFora ponta",Mercado_Receita!$L$2:$L$418)+SUMIF(Mercado_Receita!$S$2:$S$418,"44562B1Convencional pré-pagamentoResidencialResidencial baixa renda – faixa 03Não se aplicaNão se aplicaIntermediário",Mercado_Receita!$L$2:$L$418)+SUMIF(Mercado_Receita!$S$2:$S$418,"44562B1Convencional pré-pagamentoResidencialResidencial baixa renda – faixa 03Não se aplicaNão se aplicaNão se aplica",Mercado_Receita!$L$2:$L$418)</f>
        <v>0</v>
      </c>
      <c r="N25" s="13">
        <f>SUMIF(Mercado_Receita!$S$2:$S$418,"44593B1Convencional pré-pagamentoResidencialResidencial baixa renda – faixa 03Não se aplicaNão se aplicaPonta",Mercado_Receita!$L$2:$L$418)+SUMIF(Mercado_Receita!$S$2:$S$418,"44593B1Convencional pré-pagamentoResidencialResidencial baixa renda – faixa 03Não se aplicaNão se aplicaFora ponta",Mercado_Receita!$L$2:$L$418)+SUMIF(Mercado_Receita!$S$2:$S$418,"44593B1Convencional pré-pagamentoResidencialResidencial baixa renda – faixa 03Não se aplicaNão se aplicaIntermediário",Mercado_Receita!$L$2:$L$418)+SUMIF(Mercado_Receita!$S$2:$S$418,"44593B1Convencional pré-pagamentoResidencialResidencial baixa renda – faixa 03Não se aplicaNão se aplicaNão se aplica",Mercado_Receita!$L$2:$L$418)</f>
        <v>0</v>
      </c>
      <c r="O25" s="13">
        <f>SUMIF(Mercado_Receita!$S$2:$S$418,"44621B1Convencional pré-pagamentoResidencialResidencial baixa renda – faixa 03Não se aplicaNão se aplicaPonta",Mercado_Receita!$L$2:$L$418)+SUMIF(Mercado_Receita!$S$2:$S$418,"44621B1Convencional pré-pagamentoResidencialResidencial baixa renda – faixa 03Não se aplicaNão se aplicaFora ponta",Mercado_Receita!$L$2:$L$418)+SUMIF(Mercado_Receita!$S$2:$S$418,"44621B1Convencional pré-pagamentoResidencialResidencial baixa renda – faixa 03Não se aplicaNão se aplicaIntermediário",Mercado_Receita!$L$2:$L$418)+SUMIF(Mercado_Receita!$S$2:$S$418,"44621B1Convencional pré-pagamentoResidencialResidencial baixa renda – faixa 03Não se aplicaNão se aplicaNão se aplica",Mercado_Receita!$L$2:$L$418)</f>
        <v>0</v>
      </c>
      <c r="P25" s="13">
        <f>SUMIF(Mercado_Receita!$S$2:$S$418,"44652B1Convencional pré-pagamentoResidencialResidencial baixa renda – faixa 03Não se aplicaNão se aplicaPonta",Mercado_Receita!$L$2:$L$418)+SUMIF(Mercado_Receita!$S$2:$S$418,"44652B1Convencional pré-pagamentoResidencialResidencial baixa renda – faixa 03Não se aplicaNão se aplicaFora ponta",Mercado_Receita!$L$2:$L$418)+SUMIF(Mercado_Receita!$S$2:$S$418,"44652B1Convencional pré-pagamentoResidencialResidencial baixa renda – faixa 03Não se aplicaNão se aplicaIntermediário",Mercado_Receita!$L$2:$L$418)+SUMIF(Mercado_Receita!$S$2:$S$418,"44652B1Convencional pré-pagamentoResidencialResidencial baixa renda – faixa 03Não se aplicaNão se aplicaNão se aplica",Mercado_Receita!$L$2:$L$418)</f>
        <v>0</v>
      </c>
      <c r="Q25" s="13">
        <f>SUMIF(Mercado_Receita!$S$2:$S$418,"44682B1Convencional pré-pagamentoResidencialResidencial baixa renda – faixa 03Não se aplicaNão se aplicaPonta",Mercado_Receita!$L$2:$L$418)+SUMIF(Mercado_Receita!$S$2:$S$418,"44682B1Convencional pré-pagamentoResidencialResidencial baixa renda – faixa 03Não se aplicaNão se aplicaFora ponta",Mercado_Receita!$L$2:$L$418)+SUMIF(Mercado_Receita!$S$2:$S$418,"44682B1Convencional pré-pagamentoResidencialResidencial baixa renda – faixa 03Não se aplicaNão se aplicaIntermediário",Mercado_Receita!$L$2:$L$418)+SUMIF(Mercado_Receita!$S$2:$S$418,"44682B1Convencional pré-pagamentoResidencialResidencial baixa renda – faixa 03Não se aplicaNão se aplicaNão se aplica",Mercado_Receita!$L$2:$L$418)</f>
        <v>0</v>
      </c>
      <c r="R25" s="13">
        <f>SUMIF(Mercado_Receita!$S$2:$S$418,"44713B1Convencional pré-pagamentoResidencialResidencial baixa renda – faixa 03Não se aplicaNão se aplicaPonta",Mercado_Receita!$L$2:$L$418)+SUMIF(Mercado_Receita!$S$2:$S$418,"44713B1Convencional pré-pagamentoResidencialResidencial baixa renda – faixa 03Não se aplicaNão se aplicaFora ponta",Mercado_Receita!$L$2:$L$418)+SUMIF(Mercado_Receita!$S$2:$S$418,"44713B1Convencional pré-pagamentoResidencialResidencial baixa renda – faixa 03Não se aplicaNão se aplicaIntermediário",Mercado_Receita!$L$2:$L$418)+SUMIF(Mercado_Receita!$S$2:$S$418,"44713B1Convencional pré-pagamentoResidencialResidencial baixa renda – faixa 03Não se aplicaNão se aplicaNão se aplica",Mercado_Receita!$L$2:$L$418)</f>
        <v>0</v>
      </c>
      <c r="S25" s="13">
        <f>SUMIF(Mercado_Receita!$S$2:$S$418,"44743B1Convencional pré-pagamentoResidencialResidencial baixa renda – faixa 03Não se aplicaNão se aplicaPonta",Mercado_Receita!$L$2:$L$418)+SUMIF(Mercado_Receita!$S$2:$S$418,"44743B1Convencional pré-pagamentoResidencialResidencial baixa renda – faixa 03Não se aplicaNão se aplicaFora ponta",Mercado_Receita!$L$2:$L$418)+SUMIF(Mercado_Receita!$S$2:$S$418,"44743B1Convencional pré-pagamentoResidencialResidencial baixa renda – faixa 03Não se aplicaNão se aplicaIntermediário",Mercado_Receita!$L$2:$L$418)+SUMIF(Mercado_Receita!$S$2:$S$418,"44743B1Convencional pré-pagamentoResidencialResidencial baixa renda – faixa 03Não se aplicaNão se aplicaNão se aplica",Mercado_Receita!$L$2:$L$418)</f>
        <v>0</v>
      </c>
      <c r="T25" s="13">
        <f>SUMIF(Mercado_Receita!$S$2:$S$418,"44774B1Convencional pré-pagamentoResidencialResidencial baixa renda – faixa 03Não se aplicaNão se aplicaPonta",Mercado_Receita!$L$2:$L$418)+SUMIF(Mercado_Receita!$S$2:$S$418,"44774B1Convencional pré-pagamentoResidencialResidencial baixa renda – faixa 03Não se aplicaNão se aplicaFora ponta",Mercado_Receita!$L$2:$L$418)+SUMIF(Mercado_Receita!$S$2:$S$418,"44774B1Convencional pré-pagamentoResidencialResidencial baixa renda – faixa 03Não se aplicaNão se aplicaIntermediário",Mercado_Receita!$L$2:$L$418)+SUMIF(Mercado_Receita!$S$2:$S$418,"44774B1Convencional pré-pagamentoResidencialResidencial baixa renda – faixa 03Não se aplicaNão se aplicaNão se aplica",Mercado_Receita!$L$2:$L$418)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77"/>
      <c r="B26" s="77"/>
      <c r="C26" s="77"/>
      <c r="D26" s="12" t="s">
        <v>32</v>
      </c>
      <c r="E26" s="12" t="s">
        <v>25</v>
      </c>
      <c r="F26" s="12" t="s">
        <v>25</v>
      </c>
      <c r="G26" s="13" t="s">
        <v>74</v>
      </c>
      <c r="H26" s="13" t="s">
        <v>70</v>
      </c>
      <c r="I26" s="13">
        <f>SUMIF(Mercado_Receita!$S$2:$S$418,"44440B1Convencional pré-pagamentoResidencialResidencial baixa renda – faixa 04Não se aplicaNão se aplicaPonta",Mercado_Receita!$L$2:$L$418)+SUMIF(Mercado_Receita!$S$2:$S$418,"44440B1Convencional pré-pagamentoResidencialResidencial baixa renda – faixa 04Não se aplicaNão se aplicaFora ponta",Mercado_Receita!$L$2:$L$418)+SUMIF(Mercado_Receita!$S$2:$S$418,"44440B1Convencional pré-pagamentoResidencialResidencial baixa renda – faixa 04Não se aplicaNão se aplicaIntermediário",Mercado_Receita!$L$2:$L$418)+SUMIF(Mercado_Receita!$S$2:$S$418,"44440B1Convencional pré-pagamentoResidencialResidencial baixa renda – faixa 04Não se aplicaNão se aplicaNão se aplica",Mercado_Receita!$L$2:$L$418)</f>
        <v>0</v>
      </c>
      <c r="J26" s="13">
        <f>SUMIF(Mercado_Receita!$S$2:$S$418,"44470B1Convencional pré-pagamentoResidencialResidencial baixa renda – faixa 04Não se aplicaNão se aplicaPonta",Mercado_Receita!$L$2:$L$418)+SUMIF(Mercado_Receita!$S$2:$S$418,"44470B1Convencional pré-pagamentoResidencialResidencial baixa renda – faixa 04Não se aplicaNão se aplicaFora ponta",Mercado_Receita!$L$2:$L$418)+SUMIF(Mercado_Receita!$S$2:$S$418,"44470B1Convencional pré-pagamentoResidencialResidencial baixa renda – faixa 04Não se aplicaNão se aplicaIntermediário",Mercado_Receita!$L$2:$L$418)+SUMIF(Mercado_Receita!$S$2:$S$418,"44470B1Convencional pré-pagamentoResidencialResidencial baixa renda – faixa 04Não se aplicaNão se aplicaNão se aplica",Mercado_Receita!$L$2:$L$418)</f>
        <v>0</v>
      </c>
      <c r="K26" s="13">
        <f>SUMIF(Mercado_Receita!$S$2:$S$418,"44501B1Convencional pré-pagamentoResidencialResidencial baixa renda – faixa 04Não se aplicaNão se aplicaPonta",Mercado_Receita!$L$2:$L$418)+SUMIF(Mercado_Receita!$S$2:$S$418,"44501B1Convencional pré-pagamentoResidencialResidencial baixa renda – faixa 04Não se aplicaNão se aplicaFora ponta",Mercado_Receita!$L$2:$L$418)+SUMIF(Mercado_Receita!$S$2:$S$418,"44501B1Convencional pré-pagamentoResidencialResidencial baixa renda – faixa 04Não se aplicaNão se aplicaIntermediário",Mercado_Receita!$L$2:$L$418)+SUMIF(Mercado_Receita!$S$2:$S$418,"44501B1Convencional pré-pagamentoResidencialResidencial baixa renda – faixa 04Não se aplicaNão se aplicaNão se aplica",Mercado_Receita!$L$2:$L$418)</f>
        <v>0</v>
      </c>
      <c r="L26" s="13">
        <f>SUMIF(Mercado_Receita!$S$2:$S$418,"44531B1Convencional pré-pagamentoResidencialResidencial baixa renda – faixa 04Não se aplicaNão se aplicaPonta",Mercado_Receita!$L$2:$L$418)+SUMIF(Mercado_Receita!$S$2:$S$418,"44531B1Convencional pré-pagamentoResidencialResidencial baixa renda – faixa 04Não se aplicaNão se aplicaFora ponta",Mercado_Receita!$L$2:$L$418)+SUMIF(Mercado_Receita!$S$2:$S$418,"44531B1Convencional pré-pagamentoResidencialResidencial baixa renda – faixa 04Não se aplicaNão se aplicaIntermediário",Mercado_Receita!$L$2:$L$418)+SUMIF(Mercado_Receita!$S$2:$S$418,"44531B1Convencional pré-pagamentoResidencialResidencial baixa renda – faixa 04Não se aplicaNão se aplicaNão se aplica",Mercado_Receita!$L$2:$L$418)</f>
        <v>0</v>
      </c>
      <c r="M26" s="13">
        <f>SUMIF(Mercado_Receita!$S$2:$S$418,"44562B1Convencional pré-pagamentoResidencialResidencial baixa renda – faixa 04Não se aplicaNão se aplicaPonta",Mercado_Receita!$L$2:$L$418)+SUMIF(Mercado_Receita!$S$2:$S$418,"44562B1Convencional pré-pagamentoResidencialResidencial baixa renda – faixa 04Não se aplicaNão se aplicaFora ponta",Mercado_Receita!$L$2:$L$418)+SUMIF(Mercado_Receita!$S$2:$S$418,"44562B1Convencional pré-pagamentoResidencialResidencial baixa renda – faixa 04Não se aplicaNão se aplicaIntermediário",Mercado_Receita!$L$2:$L$418)+SUMIF(Mercado_Receita!$S$2:$S$418,"44562B1Convencional pré-pagamentoResidencialResidencial baixa renda – faixa 04Não se aplicaNão se aplicaNão se aplica",Mercado_Receita!$L$2:$L$418)</f>
        <v>0</v>
      </c>
      <c r="N26" s="13">
        <f>SUMIF(Mercado_Receita!$S$2:$S$418,"44593B1Convencional pré-pagamentoResidencialResidencial baixa renda – faixa 04Não se aplicaNão se aplicaPonta",Mercado_Receita!$L$2:$L$418)+SUMIF(Mercado_Receita!$S$2:$S$418,"44593B1Convencional pré-pagamentoResidencialResidencial baixa renda – faixa 04Não se aplicaNão se aplicaFora ponta",Mercado_Receita!$L$2:$L$418)+SUMIF(Mercado_Receita!$S$2:$S$418,"44593B1Convencional pré-pagamentoResidencialResidencial baixa renda – faixa 04Não se aplicaNão se aplicaIntermediário",Mercado_Receita!$L$2:$L$418)+SUMIF(Mercado_Receita!$S$2:$S$418,"44593B1Convencional pré-pagamentoResidencialResidencial baixa renda – faixa 04Não se aplicaNão se aplicaNão se aplica",Mercado_Receita!$L$2:$L$418)</f>
        <v>0</v>
      </c>
      <c r="O26" s="13">
        <f>SUMIF(Mercado_Receita!$S$2:$S$418,"44621B1Convencional pré-pagamentoResidencialResidencial baixa renda – faixa 04Não se aplicaNão se aplicaPonta",Mercado_Receita!$L$2:$L$418)+SUMIF(Mercado_Receita!$S$2:$S$418,"44621B1Convencional pré-pagamentoResidencialResidencial baixa renda – faixa 04Não se aplicaNão se aplicaFora ponta",Mercado_Receita!$L$2:$L$418)+SUMIF(Mercado_Receita!$S$2:$S$418,"44621B1Convencional pré-pagamentoResidencialResidencial baixa renda – faixa 04Não se aplicaNão se aplicaIntermediário",Mercado_Receita!$L$2:$L$418)+SUMIF(Mercado_Receita!$S$2:$S$418,"44621B1Convencional pré-pagamentoResidencialResidencial baixa renda – faixa 04Não se aplicaNão se aplicaNão se aplica",Mercado_Receita!$L$2:$L$418)</f>
        <v>0</v>
      </c>
      <c r="P26" s="13">
        <f>SUMIF(Mercado_Receita!$S$2:$S$418,"44652B1Convencional pré-pagamentoResidencialResidencial baixa renda – faixa 04Não se aplicaNão se aplicaPonta",Mercado_Receita!$L$2:$L$418)+SUMIF(Mercado_Receita!$S$2:$S$418,"44652B1Convencional pré-pagamentoResidencialResidencial baixa renda – faixa 04Não se aplicaNão se aplicaFora ponta",Mercado_Receita!$L$2:$L$418)+SUMIF(Mercado_Receita!$S$2:$S$418,"44652B1Convencional pré-pagamentoResidencialResidencial baixa renda – faixa 04Não se aplicaNão se aplicaIntermediário",Mercado_Receita!$L$2:$L$418)+SUMIF(Mercado_Receita!$S$2:$S$418,"44652B1Convencional pré-pagamentoResidencialResidencial baixa renda – faixa 04Não se aplicaNão se aplicaNão se aplica",Mercado_Receita!$L$2:$L$418)</f>
        <v>0</v>
      </c>
      <c r="Q26" s="13">
        <f>SUMIF(Mercado_Receita!$S$2:$S$418,"44682B1Convencional pré-pagamentoResidencialResidencial baixa renda – faixa 04Não se aplicaNão se aplicaPonta",Mercado_Receita!$L$2:$L$418)+SUMIF(Mercado_Receita!$S$2:$S$418,"44682B1Convencional pré-pagamentoResidencialResidencial baixa renda – faixa 04Não se aplicaNão se aplicaFora ponta",Mercado_Receita!$L$2:$L$418)+SUMIF(Mercado_Receita!$S$2:$S$418,"44682B1Convencional pré-pagamentoResidencialResidencial baixa renda – faixa 04Não se aplicaNão se aplicaIntermediário",Mercado_Receita!$L$2:$L$418)+SUMIF(Mercado_Receita!$S$2:$S$418,"44682B1Convencional pré-pagamentoResidencialResidencial baixa renda – faixa 04Não se aplicaNão se aplicaNão se aplica",Mercado_Receita!$L$2:$L$418)</f>
        <v>0</v>
      </c>
      <c r="R26" s="13">
        <f>SUMIF(Mercado_Receita!$S$2:$S$418,"44713B1Convencional pré-pagamentoResidencialResidencial baixa renda – faixa 04Não se aplicaNão se aplicaPonta",Mercado_Receita!$L$2:$L$418)+SUMIF(Mercado_Receita!$S$2:$S$418,"44713B1Convencional pré-pagamentoResidencialResidencial baixa renda – faixa 04Não se aplicaNão se aplicaFora ponta",Mercado_Receita!$L$2:$L$418)+SUMIF(Mercado_Receita!$S$2:$S$418,"44713B1Convencional pré-pagamentoResidencialResidencial baixa renda – faixa 04Não se aplicaNão se aplicaIntermediário",Mercado_Receita!$L$2:$L$418)+SUMIF(Mercado_Receita!$S$2:$S$418,"44713B1Convencional pré-pagamentoResidencialResidencial baixa renda – faixa 04Não se aplicaNão se aplicaNão se aplica",Mercado_Receita!$L$2:$L$418)</f>
        <v>0</v>
      </c>
      <c r="S26" s="13">
        <f>SUMIF(Mercado_Receita!$S$2:$S$418,"44743B1Convencional pré-pagamentoResidencialResidencial baixa renda – faixa 04Não se aplicaNão se aplicaPonta",Mercado_Receita!$L$2:$L$418)+SUMIF(Mercado_Receita!$S$2:$S$418,"44743B1Convencional pré-pagamentoResidencialResidencial baixa renda – faixa 04Não se aplicaNão se aplicaFora ponta",Mercado_Receita!$L$2:$L$418)+SUMIF(Mercado_Receita!$S$2:$S$418,"44743B1Convencional pré-pagamentoResidencialResidencial baixa renda – faixa 04Não se aplicaNão se aplicaIntermediário",Mercado_Receita!$L$2:$L$418)+SUMIF(Mercado_Receita!$S$2:$S$418,"44743B1Convencional pré-pagamentoResidencialResidencial baixa renda – faixa 04Não se aplicaNão se aplicaNão se aplica",Mercado_Receita!$L$2:$L$418)</f>
        <v>0</v>
      </c>
      <c r="T26" s="13">
        <f>SUMIF(Mercado_Receita!$S$2:$S$418,"44774B1Convencional pré-pagamentoResidencialResidencial baixa renda – faixa 04Não se aplicaNão se aplicaPonta",Mercado_Receita!$L$2:$L$418)+SUMIF(Mercado_Receita!$S$2:$S$418,"44774B1Convencional pré-pagamentoResidencialResidencial baixa renda – faixa 04Não se aplicaNão se aplicaFora ponta",Mercado_Receita!$L$2:$L$418)+SUMIF(Mercado_Receita!$S$2:$S$418,"44774B1Convencional pré-pagamentoResidencialResidencial baixa renda – faixa 04Não se aplicaNão se aplicaIntermediário",Mercado_Receita!$L$2:$L$418)+SUMIF(Mercado_Receita!$S$2:$S$418,"44774B1Convencional pré-pagamentoResidencialResidencial baixa renda – faixa 04Não se aplicaNão se aplicaNão se aplica",Mercado_Receita!$L$2:$L$418)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76" t="s">
        <v>43</v>
      </c>
      <c r="B27" s="76" t="s">
        <v>33</v>
      </c>
      <c r="C27" s="76" t="s">
        <v>44</v>
      </c>
      <c r="D27" s="76" t="s">
        <v>25</v>
      </c>
      <c r="E27" s="76" t="s">
        <v>25</v>
      </c>
      <c r="F27" s="76" t="s">
        <v>25</v>
      </c>
      <c r="G27" s="13" t="s">
        <v>71</v>
      </c>
      <c r="H27" s="13" t="s">
        <v>70</v>
      </c>
      <c r="I27" s="13">
        <f>SUMIF(Mercado_Receita!$S$2:$S$418,"44440B2BrancaRuralNão se aplicaNão se aplicaNão se aplicaPonta",Mercado_Receita!$L$2:$L$418)</f>
        <v>0</v>
      </c>
      <c r="J27" s="13">
        <f>SUMIF(Mercado_Receita!$S$2:$S$418,"44470B2BrancaRuralNão se aplicaNão se aplicaNão se aplicaPonta",Mercado_Receita!$L$2:$L$418)</f>
        <v>0</v>
      </c>
      <c r="K27" s="13">
        <f>SUMIF(Mercado_Receita!$S$2:$S$418,"44501B2BrancaRuralNão se aplicaNão se aplicaNão se aplicaPonta",Mercado_Receita!$L$2:$L$418)</f>
        <v>0</v>
      </c>
      <c r="L27" s="13">
        <f>SUMIF(Mercado_Receita!$S$2:$S$418,"44531B2BrancaRuralNão se aplicaNão se aplicaNão se aplicaPonta",Mercado_Receita!$L$2:$L$418)</f>
        <v>0</v>
      </c>
      <c r="M27" s="13">
        <f>SUMIF(Mercado_Receita!$S$2:$S$418,"44562B2BrancaRuralNão se aplicaNão se aplicaNão se aplicaPonta",Mercado_Receita!$L$2:$L$418)</f>
        <v>0</v>
      </c>
      <c r="N27" s="13">
        <f>SUMIF(Mercado_Receita!$S$2:$S$418,"44593B2BrancaRuralNão se aplicaNão se aplicaNão se aplicaPonta",Mercado_Receita!$L$2:$L$418)</f>
        <v>0</v>
      </c>
      <c r="O27" s="13">
        <f>SUMIF(Mercado_Receita!$S$2:$S$418,"44621B2BrancaRuralNão se aplicaNão se aplicaNão se aplicaPonta",Mercado_Receita!$L$2:$L$418)</f>
        <v>0</v>
      </c>
      <c r="P27" s="13">
        <f>SUMIF(Mercado_Receita!$S$2:$S$418,"44652B2BrancaRuralNão se aplicaNão se aplicaNão se aplicaPonta",Mercado_Receita!$L$2:$L$418)</f>
        <v>0</v>
      </c>
      <c r="Q27" s="13">
        <f>SUMIF(Mercado_Receita!$S$2:$S$418,"44682B2BrancaRuralNão se aplicaNão se aplicaNão se aplicaPonta",Mercado_Receita!$L$2:$L$418)</f>
        <v>0</v>
      </c>
      <c r="R27" s="13">
        <f>SUMIF(Mercado_Receita!$S$2:$S$418,"44713B2BrancaRuralNão se aplicaNão se aplicaNão se aplicaPonta",Mercado_Receita!$L$2:$L$418)</f>
        <v>0</v>
      </c>
      <c r="S27" s="13">
        <f>SUMIF(Mercado_Receita!$S$2:$S$418,"44743B2BrancaRuralNão se aplicaNão se aplicaNão se aplicaPonta",Mercado_Receita!$L$2:$L$418)</f>
        <v>0</v>
      </c>
      <c r="T27" s="13">
        <f>SUMIF(Mercado_Receita!$S$2:$S$418,"44774B2BrancaRuralNão se aplicaNão se aplicaNão se aplicaPonta",Mercado_Receita!$L$2:$L$418)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77"/>
      <c r="B28" s="77"/>
      <c r="C28" s="77"/>
      <c r="D28" s="77"/>
      <c r="E28" s="77"/>
      <c r="F28" s="77"/>
      <c r="G28" s="13" t="s">
        <v>83</v>
      </c>
      <c r="H28" s="13" t="s">
        <v>70</v>
      </c>
      <c r="I28" s="13">
        <f>SUMIF(Mercado_Receita!$S$2:$S$418,"44440B2BrancaRuralNão se aplicaNão se aplicaNão se aplicaIntermediário",Mercado_Receita!$L$2:$L$418)</f>
        <v>0</v>
      </c>
      <c r="J28" s="13">
        <f>SUMIF(Mercado_Receita!$S$2:$S$418,"44470B2BrancaRuralNão se aplicaNão se aplicaNão se aplicaIntermediário",Mercado_Receita!$L$2:$L$418)</f>
        <v>0</v>
      </c>
      <c r="K28" s="13">
        <f>SUMIF(Mercado_Receita!$S$2:$S$418,"44501B2BrancaRuralNão se aplicaNão se aplicaNão se aplicaIntermediário",Mercado_Receita!$L$2:$L$418)</f>
        <v>0</v>
      </c>
      <c r="L28" s="13">
        <f>SUMIF(Mercado_Receita!$S$2:$S$418,"44531B2BrancaRuralNão se aplicaNão se aplicaNão se aplicaIntermediário",Mercado_Receita!$L$2:$L$418)</f>
        <v>0</v>
      </c>
      <c r="M28" s="13">
        <f>SUMIF(Mercado_Receita!$S$2:$S$418,"44562B2BrancaRuralNão se aplicaNão se aplicaNão se aplicaIntermediário",Mercado_Receita!$L$2:$L$418)</f>
        <v>0</v>
      </c>
      <c r="N28" s="13">
        <f>SUMIF(Mercado_Receita!$S$2:$S$418,"44593B2BrancaRuralNão se aplicaNão se aplicaNão se aplicaIntermediário",Mercado_Receita!$L$2:$L$418)</f>
        <v>0</v>
      </c>
      <c r="O28" s="13">
        <f>SUMIF(Mercado_Receita!$S$2:$S$418,"44621B2BrancaRuralNão se aplicaNão se aplicaNão se aplicaIntermediário",Mercado_Receita!$L$2:$L$418)</f>
        <v>0</v>
      </c>
      <c r="P28" s="13">
        <f>SUMIF(Mercado_Receita!$S$2:$S$418,"44652B2BrancaRuralNão se aplicaNão se aplicaNão se aplicaIntermediário",Mercado_Receita!$L$2:$L$418)</f>
        <v>0</v>
      </c>
      <c r="Q28" s="13">
        <f>SUMIF(Mercado_Receita!$S$2:$S$418,"44682B2BrancaRuralNão se aplicaNão se aplicaNão se aplicaIntermediário",Mercado_Receita!$L$2:$L$418)</f>
        <v>0</v>
      </c>
      <c r="R28" s="13">
        <f>SUMIF(Mercado_Receita!$S$2:$S$418,"44713B2BrancaRuralNão se aplicaNão se aplicaNão se aplicaIntermediário",Mercado_Receita!$L$2:$L$418)</f>
        <v>0</v>
      </c>
      <c r="S28" s="13">
        <f>SUMIF(Mercado_Receita!$S$2:$S$418,"44743B2BrancaRuralNão se aplicaNão se aplicaNão se aplicaIntermediário",Mercado_Receita!$L$2:$L$418)</f>
        <v>0</v>
      </c>
      <c r="T28" s="13">
        <f>SUMIF(Mercado_Receita!$S$2:$S$418,"44774B2BrancaRuralNão se aplicaNão se aplicaNão se aplicaIntermediário",Mercado_Receita!$L$2:$L$418)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77"/>
      <c r="B29" s="77"/>
      <c r="C29" s="77"/>
      <c r="D29" s="77"/>
      <c r="E29" s="77"/>
      <c r="F29" s="77"/>
      <c r="G29" s="13" t="s">
        <v>72</v>
      </c>
      <c r="H29" s="13" t="s">
        <v>70</v>
      </c>
      <c r="I29" s="13">
        <f>SUMIF(Mercado_Receita!$S$2:$S$418,"44440B2BrancaRuralNão se aplicaNão se aplicaNão se aplicaFora ponta",Mercado_Receita!$L$2:$L$418)</f>
        <v>0</v>
      </c>
      <c r="J29" s="13">
        <f>SUMIF(Mercado_Receita!$S$2:$S$418,"44470B2BrancaRuralNão se aplicaNão se aplicaNão se aplicaFora ponta",Mercado_Receita!$L$2:$L$418)</f>
        <v>0</v>
      </c>
      <c r="K29" s="13">
        <f>SUMIF(Mercado_Receita!$S$2:$S$418,"44501B2BrancaRuralNão se aplicaNão se aplicaNão se aplicaFora ponta",Mercado_Receita!$L$2:$L$418)</f>
        <v>0</v>
      </c>
      <c r="L29" s="13">
        <f>SUMIF(Mercado_Receita!$S$2:$S$418,"44531B2BrancaRuralNão se aplicaNão se aplicaNão se aplicaFora ponta",Mercado_Receita!$L$2:$L$418)</f>
        <v>0</v>
      </c>
      <c r="M29" s="13">
        <f>SUMIF(Mercado_Receita!$S$2:$S$418,"44562B2BrancaRuralNão se aplicaNão se aplicaNão se aplicaFora ponta",Mercado_Receita!$L$2:$L$418)</f>
        <v>0</v>
      </c>
      <c r="N29" s="13">
        <f>SUMIF(Mercado_Receita!$S$2:$S$418,"44593B2BrancaRuralNão se aplicaNão se aplicaNão se aplicaFora ponta",Mercado_Receita!$L$2:$L$418)</f>
        <v>0</v>
      </c>
      <c r="O29" s="13">
        <f>SUMIF(Mercado_Receita!$S$2:$S$418,"44621B2BrancaRuralNão se aplicaNão se aplicaNão se aplicaFora ponta",Mercado_Receita!$L$2:$L$418)</f>
        <v>0</v>
      </c>
      <c r="P29" s="13">
        <f>SUMIF(Mercado_Receita!$S$2:$S$418,"44652B2BrancaRuralNão se aplicaNão se aplicaNão se aplicaFora ponta",Mercado_Receita!$L$2:$L$418)</f>
        <v>0</v>
      </c>
      <c r="Q29" s="13">
        <f>SUMIF(Mercado_Receita!$S$2:$S$418,"44682B2BrancaRuralNão se aplicaNão se aplicaNão se aplicaFora ponta",Mercado_Receita!$L$2:$L$418)</f>
        <v>0</v>
      </c>
      <c r="R29" s="13">
        <f>SUMIF(Mercado_Receita!$S$2:$S$418,"44713B2BrancaRuralNão se aplicaNão se aplicaNão se aplicaFora ponta",Mercado_Receita!$L$2:$L$418)</f>
        <v>0</v>
      </c>
      <c r="S29" s="13">
        <f>SUMIF(Mercado_Receita!$S$2:$S$418,"44743B2BrancaRuralNão se aplicaNão se aplicaNão se aplicaFora ponta",Mercado_Receita!$L$2:$L$418)</f>
        <v>0</v>
      </c>
      <c r="T29" s="13">
        <f>SUMIF(Mercado_Receita!$S$2:$S$418,"44774B2BrancaRuralNão se aplicaNão se aplicaNão se aplicaFora ponta",Mercado_Receita!$L$2:$L$418)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77"/>
      <c r="B30" s="12" t="s">
        <v>23</v>
      </c>
      <c r="C30" s="12" t="s">
        <v>44</v>
      </c>
      <c r="D30" s="12" t="s">
        <v>25</v>
      </c>
      <c r="E30" s="12" t="s">
        <v>25</v>
      </c>
      <c r="F30" s="12" t="s">
        <v>25</v>
      </c>
      <c r="G30" s="13" t="s">
        <v>74</v>
      </c>
      <c r="H30" s="13" t="s">
        <v>70</v>
      </c>
      <c r="I30" s="13">
        <f>SUMIF(Mercado_Receita!$S$2:$S$418,"44440B2ConvencionalRuralNão se aplicaNão se aplicaNão se aplicaPonta",Mercado_Receita!$L$2:$L$418)+SUMIF(Mercado_Receita!$S$2:$S$418,"44440B2ConvencionalRuralNão se aplicaNão se aplicaNão se aplicaFora ponta",Mercado_Receita!$L$2:$L$418)+SUMIF(Mercado_Receita!$S$2:$S$418,"44440B2ConvencionalRuralNão se aplicaNão se aplicaNão se aplicaIntermediário",Mercado_Receita!$L$2:$L$418)+SUMIF(Mercado_Receita!$S$2:$S$418,"44440B2ConvencionalRuralNão se aplicaNão se aplicaNão se aplicaNão se aplica",Mercado_Receita!$L$2:$L$418)</f>
        <v>1433.4670000000001</v>
      </c>
      <c r="J30" s="13">
        <f>SUMIF(Mercado_Receita!$S$2:$S$418,"44470B2ConvencionalRuralNão se aplicaNão se aplicaNão se aplicaPonta",Mercado_Receita!$L$2:$L$418)+SUMIF(Mercado_Receita!$S$2:$S$418,"44470B2ConvencionalRuralNão se aplicaNão se aplicaNão se aplicaFora ponta",Mercado_Receita!$L$2:$L$418)+SUMIF(Mercado_Receita!$S$2:$S$418,"44470B2ConvencionalRuralNão se aplicaNão se aplicaNão se aplicaIntermediário",Mercado_Receita!$L$2:$L$418)+SUMIF(Mercado_Receita!$S$2:$S$418,"44470B2ConvencionalRuralNão se aplicaNão se aplicaNão se aplicaNão se aplica",Mercado_Receita!$L$2:$L$418)</f>
        <v>1495.3219999999999</v>
      </c>
      <c r="K30" s="13">
        <f>SUMIF(Mercado_Receita!$S$2:$S$418,"44501B2ConvencionalRuralNão se aplicaNão se aplicaNão se aplicaPonta",Mercado_Receita!$L$2:$L$418)+SUMIF(Mercado_Receita!$S$2:$S$418,"44501B2ConvencionalRuralNão se aplicaNão se aplicaNão se aplicaFora ponta",Mercado_Receita!$L$2:$L$418)+SUMIF(Mercado_Receita!$S$2:$S$418,"44501B2ConvencionalRuralNão se aplicaNão se aplicaNão se aplicaIntermediário",Mercado_Receita!$L$2:$L$418)+SUMIF(Mercado_Receita!$S$2:$S$418,"44501B2ConvencionalRuralNão se aplicaNão se aplicaNão se aplicaNão se aplica",Mercado_Receita!$L$2:$L$418)</f>
        <v>1605.0549999999998</v>
      </c>
      <c r="L30" s="13">
        <f>SUMIF(Mercado_Receita!$S$2:$S$418,"44531B2ConvencionalRuralNão se aplicaNão se aplicaNão se aplicaPonta",Mercado_Receita!$L$2:$L$418)+SUMIF(Mercado_Receita!$S$2:$S$418,"44531B2ConvencionalRuralNão se aplicaNão se aplicaNão se aplicaFora ponta",Mercado_Receita!$L$2:$L$418)+SUMIF(Mercado_Receita!$S$2:$S$418,"44531B2ConvencionalRuralNão se aplicaNão se aplicaNão se aplicaIntermediário",Mercado_Receita!$L$2:$L$418)+SUMIF(Mercado_Receita!$S$2:$S$418,"44531B2ConvencionalRuralNão se aplicaNão se aplicaNão se aplicaNão se aplica",Mercado_Receita!$L$2:$L$418)</f>
        <v>1768.6190000000001</v>
      </c>
      <c r="M30" s="13">
        <f>SUMIF(Mercado_Receita!$S$2:$S$418,"44562B2ConvencionalRuralNão se aplicaNão se aplicaNão se aplicaPonta",Mercado_Receita!$L$2:$L$418)+SUMIF(Mercado_Receita!$S$2:$S$418,"44562B2ConvencionalRuralNão se aplicaNão se aplicaNão se aplicaFora ponta",Mercado_Receita!$L$2:$L$418)+SUMIF(Mercado_Receita!$S$2:$S$418,"44562B2ConvencionalRuralNão se aplicaNão se aplicaNão se aplicaIntermediário",Mercado_Receita!$L$2:$L$418)+SUMIF(Mercado_Receita!$S$2:$S$418,"44562B2ConvencionalRuralNão se aplicaNão se aplicaNão se aplicaNão se aplica",Mercado_Receita!$L$2:$L$418)</f>
        <v>2270.1439999999998</v>
      </c>
      <c r="N30" s="13">
        <f>SUMIF(Mercado_Receita!$S$2:$S$418,"44593B2ConvencionalRuralNão se aplicaNão se aplicaNão se aplicaPonta",Mercado_Receita!$L$2:$L$418)+SUMIF(Mercado_Receita!$S$2:$S$418,"44593B2ConvencionalRuralNão se aplicaNão se aplicaNão se aplicaFora ponta",Mercado_Receita!$L$2:$L$418)+SUMIF(Mercado_Receita!$S$2:$S$418,"44593B2ConvencionalRuralNão se aplicaNão se aplicaNão se aplicaIntermediário",Mercado_Receita!$L$2:$L$418)+SUMIF(Mercado_Receita!$S$2:$S$418,"44593B2ConvencionalRuralNão se aplicaNão se aplicaNão se aplicaNão se aplica",Mercado_Receita!$L$2:$L$418)</f>
        <v>2175.5860000000002</v>
      </c>
      <c r="O30" s="13">
        <f>SUMIF(Mercado_Receita!$S$2:$S$418,"44621B2ConvencionalRuralNão se aplicaNão se aplicaNão se aplicaPonta",Mercado_Receita!$L$2:$L$418)+SUMIF(Mercado_Receita!$S$2:$S$418,"44621B2ConvencionalRuralNão se aplicaNão se aplicaNão se aplicaFora ponta",Mercado_Receita!$L$2:$L$418)+SUMIF(Mercado_Receita!$S$2:$S$418,"44621B2ConvencionalRuralNão se aplicaNão se aplicaNão se aplicaIntermediário",Mercado_Receita!$L$2:$L$418)+SUMIF(Mercado_Receita!$S$2:$S$418,"44621B2ConvencionalRuralNão se aplicaNão se aplicaNão se aplicaNão se aplica",Mercado_Receita!$L$2:$L$418)</f>
        <v>1718.41</v>
      </c>
      <c r="P30" s="13">
        <f>SUMIF(Mercado_Receita!$S$2:$S$418,"44652B2ConvencionalRuralNão se aplicaNão se aplicaNão se aplicaPonta",Mercado_Receita!$L$2:$L$418)+SUMIF(Mercado_Receita!$S$2:$S$418,"44652B2ConvencionalRuralNão se aplicaNão se aplicaNão se aplicaFora ponta",Mercado_Receita!$L$2:$L$418)+SUMIF(Mercado_Receita!$S$2:$S$418,"44652B2ConvencionalRuralNão se aplicaNão se aplicaNão se aplicaIntermediário",Mercado_Receita!$L$2:$L$418)+SUMIF(Mercado_Receita!$S$2:$S$418,"44652B2ConvencionalRuralNão se aplicaNão se aplicaNão se aplicaNão se aplica",Mercado_Receita!$L$2:$L$418)</f>
        <v>1503.6759999999999</v>
      </c>
      <c r="Q30" s="13">
        <f>SUMIF(Mercado_Receita!$S$2:$S$418,"44682B2ConvencionalRuralNão se aplicaNão se aplicaNão se aplicaPonta",Mercado_Receita!$L$2:$L$418)+SUMIF(Mercado_Receita!$S$2:$S$418,"44682B2ConvencionalRuralNão se aplicaNão se aplicaNão se aplicaFora ponta",Mercado_Receita!$L$2:$L$418)+SUMIF(Mercado_Receita!$S$2:$S$418,"44682B2ConvencionalRuralNão se aplicaNão se aplicaNão se aplicaIntermediário",Mercado_Receita!$L$2:$L$418)+SUMIF(Mercado_Receita!$S$2:$S$418,"44682B2ConvencionalRuralNão se aplicaNão se aplicaNão se aplicaNão se aplica",Mercado_Receita!$L$2:$L$418)</f>
        <v>1408.97</v>
      </c>
      <c r="R30" s="13">
        <f>SUMIF(Mercado_Receita!$S$2:$S$418,"44713B2ConvencionalRuralNão se aplicaNão se aplicaNão se aplicaPonta",Mercado_Receita!$L$2:$L$418)+SUMIF(Mercado_Receita!$S$2:$S$418,"44713B2ConvencionalRuralNão se aplicaNão se aplicaNão se aplicaFora ponta",Mercado_Receita!$L$2:$L$418)+SUMIF(Mercado_Receita!$S$2:$S$418,"44713B2ConvencionalRuralNão se aplicaNão se aplicaNão se aplicaIntermediário",Mercado_Receita!$L$2:$L$418)+SUMIF(Mercado_Receita!$S$2:$S$418,"44713B2ConvencionalRuralNão se aplicaNão se aplicaNão se aplicaNão se aplica",Mercado_Receita!$L$2:$L$418)</f>
        <v>1366.3050000000001</v>
      </c>
      <c r="S30" s="13">
        <f>SUMIF(Mercado_Receita!$S$2:$S$418,"44743B2ConvencionalRuralNão se aplicaNão se aplicaNão se aplicaPonta",Mercado_Receita!$L$2:$L$418)+SUMIF(Mercado_Receita!$S$2:$S$418,"44743B2ConvencionalRuralNão se aplicaNão se aplicaNão se aplicaFora ponta",Mercado_Receita!$L$2:$L$418)+SUMIF(Mercado_Receita!$S$2:$S$418,"44743B2ConvencionalRuralNão se aplicaNão se aplicaNão se aplicaIntermediário",Mercado_Receita!$L$2:$L$418)+SUMIF(Mercado_Receita!$S$2:$S$418,"44743B2ConvencionalRuralNão se aplicaNão se aplicaNão se aplicaNão se aplica",Mercado_Receita!$L$2:$L$418)</f>
        <v>1252.6560000000002</v>
      </c>
      <c r="T30" s="13">
        <f>SUMIF(Mercado_Receita!$S$2:$S$418,"44774B2ConvencionalRuralNão se aplicaNão se aplicaNão se aplicaPonta",Mercado_Receita!$L$2:$L$418)+SUMIF(Mercado_Receita!$S$2:$S$418,"44774B2ConvencionalRuralNão se aplicaNão se aplicaNão se aplicaFora ponta",Mercado_Receita!$L$2:$L$418)+SUMIF(Mercado_Receita!$S$2:$S$418,"44774B2ConvencionalRuralNão se aplicaNão se aplicaNão se aplicaIntermediário",Mercado_Receita!$L$2:$L$418)+SUMIF(Mercado_Receita!$S$2:$S$418,"44774B2ConvencionalRuralNão se aplicaNão se aplicaNão se aplicaNão se aplica",Mercado_Receita!$L$2:$L$418)</f>
        <v>1402.4649999999999</v>
      </c>
      <c r="U30" s="13">
        <f t="shared" si="0"/>
        <v>19400.674999999996</v>
      </c>
      <c r="V30" s="13"/>
      <c r="W30" s="13"/>
    </row>
    <row r="31" spans="1:23" ht="11.25" customHeight="1" x14ac:dyDescent="0.3">
      <c r="A31" s="77"/>
      <c r="B31" s="76" t="s">
        <v>33</v>
      </c>
      <c r="C31" s="76" t="s">
        <v>44</v>
      </c>
      <c r="D31" s="76" t="s">
        <v>86</v>
      </c>
      <c r="E31" s="76" t="s">
        <v>25</v>
      </c>
      <c r="F31" s="76" t="s">
        <v>25</v>
      </c>
      <c r="G31" s="13" t="s">
        <v>71</v>
      </c>
      <c r="H31" s="13" t="s">
        <v>70</v>
      </c>
      <c r="I31" s="13">
        <f>SUMIF(Mercado_Receita!$S$2:$S$418,"44440B2BrancaRuralCooperativa de eletrificação ruralNão se aplicaNão se aplicaPonta",Mercado_Receita!$L$2:$L$418)</f>
        <v>0</v>
      </c>
      <c r="J31" s="13">
        <f>SUMIF(Mercado_Receita!$S$2:$S$418,"44470B2BrancaRuralCooperativa de eletrificação ruralNão se aplicaNão se aplicaPonta",Mercado_Receita!$L$2:$L$418)</f>
        <v>0</v>
      </c>
      <c r="K31" s="13">
        <f>SUMIF(Mercado_Receita!$S$2:$S$418,"44501B2BrancaRuralCooperativa de eletrificação ruralNão se aplicaNão se aplicaPonta",Mercado_Receita!$L$2:$L$418)</f>
        <v>0</v>
      </c>
      <c r="L31" s="13">
        <f>SUMIF(Mercado_Receita!$S$2:$S$418,"44531B2BrancaRuralCooperativa de eletrificação ruralNão se aplicaNão se aplicaPonta",Mercado_Receita!$L$2:$L$418)</f>
        <v>0</v>
      </c>
      <c r="M31" s="13">
        <f>SUMIF(Mercado_Receita!$S$2:$S$418,"44562B2BrancaRuralCooperativa de eletrificação ruralNão se aplicaNão se aplicaPonta",Mercado_Receita!$L$2:$L$418)</f>
        <v>0</v>
      </c>
      <c r="N31" s="13">
        <f>SUMIF(Mercado_Receita!$S$2:$S$418,"44593B2BrancaRuralCooperativa de eletrificação ruralNão se aplicaNão se aplicaPonta",Mercado_Receita!$L$2:$L$418)</f>
        <v>0</v>
      </c>
      <c r="O31" s="13">
        <f>SUMIF(Mercado_Receita!$S$2:$S$418,"44621B2BrancaRuralCooperativa de eletrificação ruralNão se aplicaNão se aplicaPonta",Mercado_Receita!$L$2:$L$418)</f>
        <v>0</v>
      </c>
      <c r="P31" s="13">
        <f>SUMIF(Mercado_Receita!$S$2:$S$418,"44652B2BrancaRuralCooperativa de eletrificação ruralNão se aplicaNão se aplicaPonta",Mercado_Receita!$L$2:$L$418)</f>
        <v>0</v>
      </c>
      <c r="Q31" s="13">
        <f>SUMIF(Mercado_Receita!$S$2:$S$418,"44682B2BrancaRuralCooperativa de eletrificação ruralNão se aplicaNão se aplicaPonta",Mercado_Receita!$L$2:$L$418)</f>
        <v>0</v>
      </c>
      <c r="R31" s="13">
        <f>SUMIF(Mercado_Receita!$S$2:$S$418,"44713B2BrancaRuralCooperativa de eletrificação ruralNão se aplicaNão se aplicaPonta",Mercado_Receita!$L$2:$L$418)</f>
        <v>0</v>
      </c>
      <c r="S31" s="13">
        <f>SUMIF(Mercado_Receita!$S$2:$S$418,"44743B2BrancaRuralCooperativa de eletrificação ruralNão se aplicaNão se aplicaPonta",Mercado_Receita!$L$2:$L$418)</f>
        <v>0</v>
      </c>
      <c r="T31" s="13">
        <f>SUMIF(Mercado_Receita!$S$2:$S$418,"44774B2BrancaRuralCooperativa de eletrificação ruralNão se aplicaNão se aplicaPonta",Mercado_Receita!$L$2:$L$418)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77"/>
      <c r="B32" s="77"/>
      <c r="C32" s="77"/>
      <c r="D32" s="77"/>
      <c r="E32" s="77"/>
      <c r="F32" s="77"/>
      <c r="G32" s="13" t="s">
        <v>83</v>
      </c>
      <c r="H32" s="13" t="s">
        <v>70</v>
      </c>
      <c r="I32" s="13">
        <f>SUMIF(Mercado_Receita!$S$2:$S$418,"44440B2BrancaRuralCooperativa de eletrificação ruralNão se aplicaNão se aplicaIntermediário",Mercado_Receita!$L$2:$L$418)</f>
        <v>0</v>
      </c>
      <c r="J32" s="13">
        <f>SUMIF(Mercado_Receita!$S$2:$S$418,"44470B2BrancaRuralCooperativa de eletrificação ruralNão se aplicaNão se aplicaIntermediário",Mercado_Receita!$L$2:$L$418)</f>
        <v>0</v>
      </c>
      <c r="K32" s="13">
        <f>SUMIF(Mercado_Receita!$S$2:$S$418,"44501B2BrancaRuralCooperativa de eletrificação ruralNão se aplicaNão se aplicaIntermediário",Mercado_Receita!$L$2:$L$418)</f>
        <v>0</v>
      </c>
      <c r="L32" s="13">
        <f>SUMIF(Mercado_Receita!$S$2:$S$418,"44531B2BrancaRuralCooperativa de eletrificação ruralNão se aplicaNão se aplicaIntermediário",Mercado_Receita!$L$2:$L$418)</f>
        <v>0</v>
      </c>
      <c r="M32" s="13">
        <f>SUMIF(Mercado_Receita!$S$2:$S$418,"44562B2BrancaRuralCooperativa de eletrificação ruralNão se aplicaNão se aplicaIntermediário",Mercado_Receita!$L$2:$L$418)</f>
        <v>0</v>
      </c>
      <c r="N32" s="13">
        <f>SUMIF(Mercado_Receita!$S$2:$S$418,"44593B2BrancaRuralCooperativa de eletrificação ruralNão se aplicaNão se aplicaIntermediário",Mercado_Receita!$L$2:$L$418)</f>
        <v>0</v>
      </c>
      <c r="O32" s="13">
        <f>SUMIF(Mercado_Receita!$S$2:$S$418,"44621B2BrancaRuralCooperativa de eletrificação ruralNão se aplicaNão se aplicaIntermediário",Mercado_Receita!$L$2:$L$418)</f>
        <v>0</v>
      </c>
      <c r="P32" s="13">
        <f>SUMIF(Mercado_Receita!$S$2:$S$418,"44652B2BrancaRuralCooperativa de eletrificação ruralNão se aplicaNão se aplicaIntermediário",Mercado_Receita!$L$2:$L$418)</f>
        <v>0</v>
      </c>
      <c r="Q32" s="13">
        <f>SUMIF(Mercado_Receita!$S$2:$S$418,"44682B2BrancaRuralCooperativa de eletrificação ruralNão se aplicaNão se aplicaIntermediário",Mercado_Receita!$L$2:$L$418)</f>
        <v>0</v>
      </c>
      <c r="R32" s="13">
        <f>SUMIF(Mercado_Receita!$S$2:$S$418,"44713B2BrancaRuralCooperativa de eletrificação ruralNão se aplicaNão se aplicaIntermediário",Mercado_Receita!$L$2:$L$418)</f>
        <v>0</v>
      </c>
      <c r="S32" s="13">
        <f>SUMIF(Mercado_Receita!$S$2:$S$418,"44743B2BrancaRuralCooperativa de eletrificação ruralNão se aplicaNão se aplicaIntermediário",Mercado_Receita!$L$2:$L$418)</f>
        <v>0</v>
      </c>
      <c r="T32" s="13">
        <f>SUMIF(Mercado_Receita!$S$2:$S$418,"44774B2BrancaRuralCooperativa de eletrificação ruralNão se aplicaNão se aplicaIntermediário",Mercado_Receita!$L$2:$L$418)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77"/>
      <c r="B33" s="77"/>
      <c r="C33" s="77"/>
      <c r="D33" s="77"/>
      <c r="E33" s="77"/>
      <c r="F33" s="77"/>
      <c r="G33" s="13" t="s">
        <v>72</v>
      </c>
      <c r="H33" s="13" t="s">
        <v>70</v>
      </c>
      <c r="I33" s="13">
        <f>SUMIF(Mercado_Receita!$S$2:$S$418,"44440B2BrancaRuralCooperativa de eletrificação ruralNão se aplicaNão se aplicaFora ponta",Mercado_Receita!$L$2:$L$418)</f>
        <v>0</v>
      </c>
      <c r="J33" s="13">
        <f>SUMIF(Mercado_Receita!$S$2:$S$418,"44470B2BrancaRuralCooperativa de eletrificação ruralNão se aplicaNão se aplicaFora ponta",Mercado_Receita!$L$2:$L$418)</f>
        <v>0</v>
      </c>
      <c r="K33" s="13">
        <f>SUMIF(Mercado_Receita!$S$2:$S$418,"44501B2BrancaRuralCooperativa de eletrificação ruralNão se aplicaNão se aplicaFora ponta",Mercado_Receita!$L$2:$L$418)</f>
        <v>0</v>
      </c>
      <c r="L33" s="13">
        <f>SUMIF(Mercado_Receita!$S$2:$S$418,"44531B2BrancaRuralCooperativa de eletrificação ruralNão se aplicaNão se aplicaFora ponta",Mercado_Receita!$L$2:$L$418)</f>
        <v>0</v>
      </c>
      <c r="M33" s="13">
        <f>SUMIF(Mercado_Receita!$S$2:$S$418,"44562B2BrancaRuralCooperativa de eletrificação ruralNão se aplicaNão se aplicaFora ponta",Mercado_Receita!$L$2:$L$418)</f>
        <v>0</v>
      </c>
      <c r="N33" s="13">
        <f>SUMIF(Mercado_Receita!$S$2:$S$418,"44593B2BrancaRuralCooperativa de eletrificação ruralNão se aplicaNão se aplicaFora ponta",Mercado_Receita!$L$2:$L$418)</f>
        <v>0</v>
      </c>
      <c r="O33" s="13">
        <f>SUMIF(Mercado_Receita!$S$2:$S$418,"44621B2BrancaRuralCooperativa de eletrificação ruralNão se aplicaNão se aplicaFora ponta",Mercado_Receita!$L$2:$L$418)</f>
        <v>0</v>
      </c>
      <c r="P33" s="13">
        <f>SUMIF(Mercado_Receita!$S$2:$S$418,"44652B2BrancaRuralCooperativa de eletrificação ruralNão se aplicaNão se aplicaFora ponta",Mercado_Receita!$L$2:$L$418)</f>
        <v>0</v>
      </c>
      <c r="Q33" s="13">
        <f>SUMIF(Mercado_Receita!$S$2:$S$418,"44682B2BrancaRuralCooperativa de eletrificação ruralNão se aplicaNão se aplicaFora ponta",Mercado_Receita!$L$2:$L$418)</f>
        <v>0</v>
      </c>
      <c r="R33" s="13">
        <f>SUMIF(Mercado_Receita!$S$2:$S$418,"44713B2BrancaRuralCooperativa de eletrificação ruralNão se aplicaNão se aplicaFora ponta",Mercado_Receita!$L$2:$L$418)</f>
        <v>0</v>
      </c>
      <c r="S33" s="13">
        <f>SUMIF(Mercado_Receita!$S$2:$S$418,"44743B2BrancaRuralCooperativa de eletrificação ruralNão se aplicaNão se aplicaFora ponta",Mercado_Receita!$L$2:$L$418)</f>
        <v>0</v>
      </c>
      <c r="T33" s="13">
        <f>SUMIF(Mercado_Receita!$S$2:$S$418,"44774B2BrancaRuralCooperativa de eletrificação ruralNão se aplicaNão se aplicaFora ponta",Mercado_Receita!$L$2:$L$418)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77"/>
      <c r="B34" s="12" t="s">
        <v>23</v>
      </c>
      <c r="C34" s="12" t="s">
        <v>44</v>
      </c>
      <c r="D34" s="12" t="s">
        <v>86</v>
      </c>
      <c r="E34" s="12" t="s">
        <v>25</v>
      </c>
      <c r="F34" s="12" t="s">
        <v>25</v>
      </c>
      <c r="G34" s="13" t="s">
        <v>74</v>
      </c>
      <c r="H34" s="13" t="s">
        <v>70</v>
      </c>
      <c r="I34" s="13">
        <f>SUMIF(Mercado_Receita!$S$2:$S$418,"44440B2ConvencionalRuralCooperativa de eletrificação ruralNão se aplicaNão se aplicaPonta",Mercado_Receita!$L$2:$L$418)+SUMIF(Mercado_Receita!$S$2:$S$418,"44440B2ConvencionalRuralCooperativa de eletrificação ruralNão se aplicaNão se aplicaFora ponta",Mercado_Receita!$L$2:$L$418)+SUMIF(Mercado_Receita!$S$2:$S$418,"44440B2ConvencionalRuralCooperativa de eletrificação ruralNão se aplicaNão se aplicaIntermediário",Mercado_Receita!$L$2:$L$418)+SUMIF(Mercado_Receita!$S$2:$S$418,"44440B2ConvencionalRuralCooperativa de eletrificação ruralNão se aplicaNão se aplicaNão se aplica",Mercado_Receita!$L$2:$L$418)</f>
        <v>0</v>
      </c>
      <c r="J34" s="13">
        <f>SUMIF(Mercado_Receita!$S$2:$S$418,"44470B2ConvencionalRuralCooperativa de eletrificação ruralNão se aplicaNão se aplicaPonta",Mercado_Receita!$L$2:$L$418)+SUMIF(Mercado_Receita!$S$2:$S$418,"44470B2ConvencionalRuralCooperativa de eletrificação ruralNão se aplicaNão se aplicaFora ponta",Mercado_Receita!$L$2:$L$418)+SUMIF(Mercado_Receita!$S$2:$S$418,"44470B2ConvencionalRuralCooperativa de eletrificação ruralNão se aplicaNão se aplicaIntermediário",Mercado_Receita!$L$2:$L$418)+SUMIF(Mercado_Receita!$S$2:$S$418,"44470B2ConvencionalRuralCooperativa de eletrificação ruralNão se aplicaNão se aplicaNão se aplica",Mercado_Receita!$L$2:$L$418)</f>
        <v>0</v>
      </c>
      <c r="K34" s="13">
        <f>SUMIF(Mercado_Receita!$S$2:$S$418,"44501B2ConvencionalRuralCooperativa de eletrificação ruralNão se aplicaNão se aplicaPonta",Mercado_Receita!$L$2:$L$418)+SUMIF(Mercado_Receita!$S$2:$S$418,"44501B2ConvencionalRuralCooperativa de eletrificação ruralNão se aplicaNão se aplicaFora ponta",Mercado_Receita!$L$2:$L$418)+SUMIF(Mercado_Receita!$S$2:$S$418,"44501B2ConvencionalRuralCooperativa de eletrificação ruralNão se aplicaNão se aplicaIntermediário",Mercado_Receita!$L$2:$L$418)+SUMIF(Mercado_Receita!$S$2:$S$418,"44501B2ConvencionalRuralCooperativa de eletrificação ruralNão se aplicaNão se aplicaNão se aplica",Mercado_Receita!$L$2:$L$418)</f>
        <v>0</v>
      </c>
      <c r="L34" s="13">
        <f>SUMIF(Mercado_Receita!$S$2:$S$418,"44531B2ConvencionalRuralCooperativa de eletrificação ruralNão se aplicaNão se aplicaPonta",Mercado_Receita!$L$2:$L$418)+SUMIF(Mercado_Receita!$S$2:$S$418,"44531B2ConvencionalRuralCooperativa de eletrificação ruralNão se aplicaNão se aplicaFora ponta",Mercado_Receita!$L$2:$L$418)+SUMIF(Mercado_Receita!$S$2:$S$418,"44531B2ConvencionalRuralCooperativa de eletrificação ruralNão se aplicaNão se aplicaIntermediário",Mercado_Receita!$L$2:$L$418)+SUMIF(Mercado_Receita!$S$2:$S$418,"44531B2ConvencionalRuralCooperativa de eletrificação ruralNão se aplicaNão se aplicaNão se aplica",Mercado_Receita!$L$2:$L$418)</f>
        <v>0</v>
      </c>
      <c r="M34" s="13">
        <f>SUMIF(Mercado_Receita!$S$2:$S$418,"44562B2ConvencionalRuralCooperativa de eletrificação ruralNão se aplicaNão se aplicaPonta",Mercado_Receita!$L$2:$L$418)+SUMIF(Mercado_Receita!$S$2:$S$418,"44562B2ConvencionalRuralCooperativa de eletrificação ruralNão se aplicaNão se aplicaFora ponta",Mercado_Receita!$L$2:$L$418)+SUMIF(Mercado_Receita!$S$2:$S$418,"44562B2ConvencionalRuralCooperativa de eletrificação ruralNão se aplicaNão se aplicaIntermediário",Mercado_Receita!$L$2:$L$418)+SUMIF(Mercado_Receita!$S$2:$S$418,"44562B2ConvencionalRuralCooperativa de eletrificação ruralNão se aplicaNão se aplicaNão se aplica",Mercado_Receita!$L$2:$L$418)</f>
        <v>0</v>
      </c>
      <c r="N34" s="13">
        <f>SUMIF(Mercado_Receita!$S$2:$S$418,"44593B2ConvencionalRuralCooperativa de eletrificação ruralNão se aplicaNão se aplicaPonta",Mercado_Receita!$L$2:$L$418)+SUMIF(Mercado_Receita!$S$2:$S$418,"44593B2ConvencionalRuralCooperativa de eletrificação ruralNão se aplicaNão se aplicaFora ponta",Mercado_Receita!$L$2:$L$418)+SUMIF(Mercado_Receita!$S$2:$S$418,"44593B2ConvencionalRuralCooperativa de eletrificação ruralNão se aplicaNão se aplicaIntermediário",Mercado_Receita!$L$2:$L$418)+SUMIF(Mercado_Receita!$S$2:$S$418,"44593B2ConvencionalRuralCooperativa de eletrificação ruralNão se aplicaNão se aplicaNão se aplica",Mercado_Receita!$L$2:$L$418)</f>
        <v>0</v>
      </c>
      <c r="O34" s="13">
        <f>SUMIF(Mercado_Receita!$S$2:$S$418,"44621B2ConvencionalRuralCooperativa de eletrificação ruralNão se aplicaNão se aplicaPonta",Mercado_Receita!$L$2:$L$418)+SUMIF(Mercado_Receita!$S$2:$S$418,"44621B2ConvencionalRuralCooperativa de eletrificação ruralNão se aplicaNão se aplicaFora ponta",Mercado_Receita!$L$2:$L$418)+SUMIF(Mercado_Receita!$S$2:$S$418,"44621B2ConvencionalRuralCooperativa de eletrificação ruralNão se aplicaNão se aplicaIntermediário",Mercado_Receita!$L$2:$L$418)+SUMIF(Mercado_Receita!$S$2:$S$418,"44621B2ConvencionalRuralCooperativa de eletrificação ruralNão se aplicaNão se aplicaNão se aplica",Mercado_Receita!$L$2:$L$418)</f>
        <v>0</v>
      </c>
      <c r="P34" s="13">
        <f>SUMIF(Mercado_Receita!$S$2:$S$418,"44652B2ConvencionalRuralCooperativa de eletrificação ruralNão se aplicaNão se aplicaPonta",Mercado_Receita!$L$2:$L$418)+SUMIF(Mercado_Receita!$S$2:$S$418,"44652B2ConvencionalRuralCooperativa de eletrificação ruralNão se aplicaNão se aplicaFora ponta",Mercado_Receita!$L$2:$L$418)+SUMIF(Mercado_Receita!$S$2:$S$418,"44652B2ConvencionalRuralCooperativa de eletrificação ruralNão se aplicaNão se aplicaIntermediário",Mercado_Receita!$L$2:$L$418)+SUMIF(Mercado_Receita!$S$2:$S$418,"44652B2ConvencionalRuralCooperativa de eletrificação ruralNão se aplicaNão se aplicaNão se aplica",Mercado_Receita!$L$2:$L$418)</f>
        <v>0</v>
      </c>
      <c r="Q34" s="13">
        <f>SUMIF(Mercado_Receita!$S$2:$S$418,"44682B2ConvencionalRuralCooperativa de eletrificação ruralNão se aplicaNão se aplicaPonta",Mercado_Receita!$L$2:$L$418)+SUMIF(Mercado_Receita!$S$2:$S$418,"44682B2ConvencionalRuralCooperativa de eletrificação ruralNão se aplicaNão se aplicaFora ponta",Mercado_Receita!$L$2:$L$418)+SUMIF(Mercado_Receita!$S$2:$S$418,"44682B2ConvencionalRuralCooperativa de eletrificação ruralNão se aplicaNão se aplicaIntermediário",Mercado_Receita!$L$2:$L$418)+SUMIF(Mercado_Receita!$S$2:$S$418,"44682B2ConvencionalRuralCooperativa de eletrificação ruralNão se aplicaNão se aplicaNão se aplica",Mercado_Receita!$L$2:$L$418)</f>
        <v>0</v>
      </c>
      <c r="R34" s="13">
        <f>SUMIF(Mercado_Receita!$S$2:$S$418,"44713B2ConvencionalRuralCooperativa de eletrificação ruralNão se aplicaNão se aplicaPonta",Mercado_Receita!$L$2:$L$418)+SUMIF(Mercado_Receita!$S$2:$S$418,"44713B2ConvencionalRuralCooperativa de eletrificação ruralNão se aplicaNão se aplicaFora ponta",Mercado_Receita!$L$2:$L$418)+SUMIF(Mercado_Receita!$S$2:$S$418,"44713B2ConvencionalRuralCooperativa de eletrificação ruralNão se aplicaNão se aplicaIntermediário",Mercado_Receita!$L$2:$L$418)+SUMIF(Mercado_Receita!$S$2:$S$418,"44713B2ConvencionalRuralCooperativa de eletrificação ruralNão se aplicaNão se aplicaNão se aplica",Mercado_Receita!$L$2:$L$418)</f>
        <v>0</v>
      </c>
      <c r="S34" s="13">
        <f>SUMIF(Mercado_Receita!$S$2:$S$418,"44743B2ConvencionalRuralCooperativa de eletrificação ruralNão se aplicaNão se aplicaPonta",Mercado_Receita!$L$2:$L$418)+SUMIF(Mercado_Receita!$S$2:$S$418,"44743B2ConvencionalRuralCooperativa de eletrificação ruralNão se aplicaNão se aplicaFora ponta",Mercado_Receita!$L$2:$L$418)+SUMIF(Mercado_Receita!$S$2:$S$418,"44743B2ConvencionalRuralCooperativa de eletrificação ruralNão se aplicaNão se aplicaIntermediário",Mercado_Receita!$L$2:$L$418)+SUMIF(Mercado_Receita!$S$2:$S$418,"44743B2ConvencionalRuralCooperativa de eletrificação ruralNão se aplicaNão se aplicaNão se aplica",Mercado_Receita!$L$2:$L$418)</f>
        <v>0</v>
      </c>
      <c r="T34" s="13">
        <f>SUMIF(Mercado_Receita!$S$2:$S$418,"44774B2ConvencionalRuralCooperativa de eletrificação ruralNão se aplicaNão se aplicaPonta",Mercado_Receita!$L$2:$L$418)+SUMIF(Mercado_Receita!$S$2:$S$418,"44774B2ConvencionalRuralCooperativa de eletrificação ruralNão se aplicaNão se aplicaFora ponta",Mercado_Receita!$L$2:$L$418)+SUMIF(Mercado_Receita!$S$2:$S$418,"44774B2ConvencionalRuralCooperativa de eletrificação ruralNão se aplicaNão se aplicaIntermediário",Mercado_Receita!$L$2:$L$418)+SUMIF(Mercado_Receita!$S$2:$S$418,"44774B2ConvencionalRuralCooperativa de eletrificação ruralNão se aplicaNão se aplicaNão se aplica",Mercado_Receita!$L$2:$L$418)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77"/>
      <c r="B35" s="76" t="s">
        <v>33</v>
      </c>
      <c r="C35" s="76" t="s">
        <v>44</v>
      </c>
      <c r="D35" s="76" t="s">
        <v>87</v>
      </c>
      <c r="E35" s="76" t="s">
        <v>25</v>
      </c>
      <c r="F35" s="76" t="s">
        <v>25</v>
      </c>
      <c r="G35" s="13" t="s">
        <v>71</v>
      </c>
      <c r="H35" s="13" t="s">
        <v>70</v>
      </c>
      <c r="I35" s="13">
        <f>SUMIF(Mercado_Receita!$S$2:$S$418,"44440B2BrancaRuralServiço público de irrigação ruralNão se aplicaNão se aplicaPonta",Mercado_Receita!$L$2:$L$418)</f>
        <v>0</v>
      </c>
      <c r="J35" s="13">
        <f>SUMIF(Mercado_Receita!$S$2:$S$418,"44470B2BrancaRuralServiço público de irrigação ruralNão se aplicaNão se aplicaPonta",Mercado_Receita!$L$2:$L$418)</f>
        <v>0</v>
      </c>
      <c r="K35" s="13">
        <f>SUMIF(Mercado_Receita!$S$2:$S$418,"44501B2BrancaRuralServiço público de irrigação ruralNão se aplicaNão se aplicaPonta",Mercado_Receita!$L$2:$L$418)</f>
        <v>0</v>
      </c>
      <c r="L35" s="13">
        <f>SUMIF(Mercado_Receita!$S$2:$S$418,"44531B2BrancaRuralServiço público de irrigação ruralNão se aplicaNão se aplicaPonta",Mercado_Receita!$L$2:$L$418)</f>
        <v>0</v>
      </c>
      <c r="M35" s="13">
        <f>SUMIF(Mercado_Receita!$S$2:$S$418,"44562B2BrancaRuralServiço público de irrigação ruralNão se aplicaNão se aplicaPonta",Mercado_Receita!$L$2:$L$418)</f>
        <v>0</v>
      </c>
      <c r="N35" s="13">
        <f>SUMIF(Mercado_Receita!$S$2:$S$418,"44593B2BrancaRuralServiço público de irrigação ruralNão se aplicaNão se aplicaPonta",Mercado_Receita!$L$2:$L$418)</f>
        <v>0</v>
      </c>
      <c r="O35" s="13">
        <f>SUMIF(Mercado_Receita!$S$2:$S$418,"44621B2BrancaRuralServiço público de irrigação ruralNão se aplicaNão se aplicaPonta",Mercado_Receita!$L$2:$L$418)</f>
        <v>0</v>
      </c>
      <c r="P35" s="13">
        <f>SUMIF(Mercado_Receita!$S$2:$S$418,"44652B2BrancaRuralServiço público de irrigação ruralNão se aplicaNão se aplicaPonta",Mercado_Receita!$L$2:$L$418)</f>
        <v>0</v>
      </c>
      <c r="Q35" s="13">
        <f>SUMIF(Mercado_Receita!$S$2:$S$418,"44682B2BrancaRuralServiço público de irrigação ruralNão se aplicaNão se aplicaPonta",Mercado_Receita!$L$2:$L$418)</f>
        <v>0</v>
      </c>
      <c r="R35" s="13">
        <f>SUMIF(Mercado_Receita!$S$2:$S$418,"44713B2BrancaRuralServiço público de irrigação ruralNão se aplicaNão se aplicaPonta",Mercado_Receita!$L$2:$L$418)</f>
        <v>0</v>
      </c>
      <c r="S35" s="13">
        <f>SUMIF(Mercado_Receita!$S$2:$S$418,"44743B2BrancaRuralServiço público de irrigação ruralNão se aplicaNão se aplicaPonta",Mercado_Receita!$L$2:$L$418)</f>
        <v>0</v>
      </c>
      <c r="T35" s="13">
        <f>SUMIF(Mercado_Receita!$S$2:$S$418,"44774B2BrancaRuralServiço público de irrigação ruralNão se aplicaNão se aplicaPonta",Mercado_Receita!$L$2:$L$418)</f>
        <v>0</v>
      </c>
      <c r="U35" s="13">
        <f t="shared" si="0"/>
        <v>0</v>
      </c>
      <c r="V35" s="13"/>
      <c r="W35" s="13"/>
    </row>
    <row r="36" spans="1:23" ht="11.25" customHeight="1" x14ac:dyDescent="0.3">
      <c r="A36" s="77"/>
      <c r="B36" s="77"/>
      <c r="C36" s="77"/>
      <c r="D36" s="77"/>
      <c r="E36" s="77"/>
      <c r="F36" s="77"/>
      <c r="G36" s="13" t="s">
        <v>83</v>
      </c>
      <c r="H36" s="13" t="s">
        <v>70</v>
      </c>
      <c r="I36" s="13">
        <f>SUMIF(Mercado_Receita!$S$2:$S$418,"44440B2BrancaRuralServiço público de irrigação ruralNão se aplicaNão se aplicaIntermediário",Mercado_Receita!$L$2:$L$418)</f>
        <v>0</v>
      </c>
      <c r="J36" s="13">
        <f>SUMIF(Mercado_Receita!$S$2:$S$418,"44470B2BrancaRuralServiço público de irrigação ruralNão se aplicaNão se aplicaIntermediário",Mercado_Receita!$L$2:$L$418)</f>
        <v>0</v>
      </c>
      <c r="K36" s="13">
        <f>SUMIF(Mercado_Receita!$S$2:$S$418,"44501B2BrancaRuralServiço público de irrigação ruralNão se aplicaNão se aplicaIntermediário",Mercado_Receita!$L$2:$L$418)</f>
        <v>0</v>
      </c>
      <c r="L36" s="13">
        <f>SUMIF(Mercado_Receita!$S$2:$S$418,"44531B2BrancaRuralServiço público de irrigação ruralNão se aplicaNão se aplicaIntermediário",Mercado_Receita!$L$2:$L$418)</f>
        <v>0</v>
      </c>
      <c r="M36" s="13">
        <f>SUMIF(Mercado_Receita!$S$2:$S$418,"44562B2BrancaRuralServiço público de irrigação ruralNão se aplicaNão se aplicaIntermediário",Mercado_Receita!$L$2:$L$418)</f>
        <v>0</v>
      </c>
      <c r="N36" s="13">
        <f>SUMIF(Mercado_Receita!$S$2:$S$418,"44593B2BrancaRuralServiço público de irrigação ruralNão se aplicaNão se aplicaIntermediário",Mercado_Receita!$L$2:$L$418)</f>
        <v>0</v>
      </c>
      <c r="O36" s="13">
        <f>SUMIF(Mercado_Receita!$S$2:$S$418,"44621B2BrancaRuralServiço público de irrigação ruralNão se aplicaNão se aplicaIntermediário",Mercado_Receita!$L$2:$L$418)</f>
        <v>0</v>
      </c>
      <c r="P36" s="13">
        <f>SUMIF(Mercado_Receita!$S$2:$S$418,"44652B2BrancaRuralServiço público de irrigação ruralNão se aplicaNão se aplicaIntermediário",Mercado_Receita!$L$2:$L$418)</f>
        <v>0</v>
      </c>
      <c r="Q36" s="13">
        <f>SUMIF(Mercado_Receita!$S$2:$S$418,"44682B2BrancaRuralServiço público de irrigação ruralNão se aplicaNão se aplicaIntermediário",Mercado_Receita!$L$2:$L$418)</f>
        <v>0</v>
      </c>
      <c r="R36" s="13">
        <f>SUMIF(Mercado_Receita!$S$2:$S$418,"44713B2BrancaRuralServiço público de irrigação ruralNão se aplicaNão se aplicaIntermediário",Mercado_Receita!$L$2:$L$418)</f>
        <v>0</v>
      </c>
      <c r="S36" s="13">
        <f>SUMIF(Mercado_Receita!$S$2:$S$418,"44743B2BrancaRuralServiço público de irrigação ruralNão se aplicaNão se aplicaIntermediário",Mercado_Receita!$L$2:$L$418)</f>
        <v>0</v>
      </c>
      <c r="T36" s="13">
        <f>SUMIF(Mercado_Receita!$S$2:$S$418,"44774B2BrancaRuralServiço público de irrigação ruralNão se aplicaNão se aplicaIntermediário",Mercado_Receita!$L$2:$L$418)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77"/>
      <c r="B37" s="77"/>
      <c r="C37" s="77"/>
      <c r="D37" s="77"/>
      <c r="E37" s="77"/>
      <c r="F37" s="77"/>
      <c r="G37" s="13" t="s">
        <v>72</v>
      </c>
      <c r="H37" s="13" t="s">
        <v>70</v>
      </c>
      <c r="I37" s="13">
        <f>SUMIF(Mercado_Receita!$S$2:$S$418,"44440B2BrancaRuralServiço público de irrigação ruralNão se aplicaNão se aplicaFora ponta",Mercado_Receita!$L$2:$L$418)</f>
        <v>0</v>
      </c>
      <c r="J37" s="13">
        <f>SUMIF(Mercado_Receita!$S$2:$S$418,"44470B2BrancaRuralServiço público de irrigação ruralNão se aplicaNão se aplicaFora ponta",Mercado_Receita!$L$2:$L$418)</f>
        <v>0</v>
      </c>
      <c r="K37" s="13">
        <f>SUMIF(Mercado_Receita!$S$2:$S$418,"44501B2BrancaRuralServiço público de irrigação ruralNão se aplicaNão se aplicaFora ponta",Mercado_Receita!$L$2:$L$418)</f>
        <v>0</v>
      </c>
      <c r="L37" s="13">
        <f>SUMIF(Mercado_Receita!$S$2:$S$418,"44531B2BrancaRuralServiço público de irrigação ruralNão se aplicaNão se aplicaFora ponta",Mercado_Receita!$L$2:$L$418)</f>
        <v>0</v>
      </c>
      <c r="M37" s="13">
        <f>SUMIF(Mercado_Receita!$S$2:$S$418,"44562B2BrancaRuralServiço público de irrigação ruralNão se aplicaNão se aplicaFora ponta",Mercado_Receita!$L$2:$L$418)</f>
        <v>0</v>
      </c>
      <c r="N37" s="13">
        <f>SUMIF(Mercado_Receita!$S$2:$S$418,"44593B2BrancaRuralServiço público de irrigação ruralNão se aplicaNão se aplicaFora ponta",Mercado_Receita!$L$2:$L$418)</f>
        <v>0</v>
      </c>
      <c r="O37" s="13">
        <f>SUMIF(Mercado_Receita!$S$2:$S$418,"44621B2BrancaRuralServiço público de irrigação ruralNão se aplicaNão se aplicaFora ponta",Mercado_Receita!$L$2:$L$418)</f>
        <v>0</v>
      </c>
      <c r="P37" s="13">
        <f>SUMIF(Mercado_Receita!$S$2:$S$418,"44652B2BrancaRuralServiço público de irrigação ruralNão se aplicaNão se aplicaFora ponta",Mercado_Receita!$L$2:$L$418)</f>
        <v>0</v>
      </c>
      <c r="Q37" s="13">
        <f>SUMIF(Mercado_Receita!$S$2:$S$418,"44682B2BrancaRuralServiço público de irrigação ruralNão se aplicaNão se aplicaFora ponta",Mercado_Receita!$L$2:$L$418)</f>
        <v>0</v>
      </c>
      <c r="R37" s="13">
        <f>SUMIF(Mercado_Receita!$S$2:$S$418,"44713B2BrancaRuralServiço público de irrigação ruralNão se aplicaNão se aplicaFora ponta",Mercado_Receita!$L$2:$L$418)</f>
        <v>0</v>
      </c>
      <c r="S37" s="13">
        <f>SUMIF(Mercado_Receita!$S$2:$S$418,"44743B2BrancaRuralServiço público de irrigação ruralNão se aplicaNão se aplicaFora ponta",Mercado_Receita!$L$2:$L$418)</f>
        <v>0</v>
      </c>
      <c r="T37" s="13">
        <f>SUMIF(Mercado_Receita!$S$2:$S$418,"44774B2BrancaRuralServiço público de irrigação ruralNão se aplicaNão se aplicaFora ponta",Mercado_Receita!$L$2:$L$418)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77"/>
      <c r="B38" s="12" t="s">
        <v>23</v>
      </c>
      <c r="C38" s="12" t="s">
        <v>44</v>
      </c>
      <c r="D38" s="12" t="s">
        <v>87</v>
      </c>
      <c r="E38" s="12" t="s">
        <v>25</v>
      </c>
      <c r="F38" s="12" t="s">
        <v>25</v>
      </c>
      <c r="G38" s="13" t="s">
        <v>74</v>
      </c>
      <c r="H38" s="13" t="s">
        <v>70</v>
      </c>
      <c r="I38" s="13">
        <f>SUMIF(Mercado_Receita!$S$2:$S$418,"44440B2ConvencionalRuralServiço público de irrigação ruralNão se aplicaNão se aplicaPonta",Mercado_Receita!$L$2:$L$418)+SUMIF(Mercado_Receita!$S$2:$S$418,"44440B2ConvencionalRuralServiço público de irrigação ruralNão se aplicaNão se aplicaFora ponta",Mercado_Receita!$L$2:$L$418)+SUMIF(Mercado_Receita!$S$2:$S$418,"44440B2ConvencionalRuralServiço público de irrigação ruralNão se aplicaNão se aplicaIntermediário",Mercado_Receita!$L$2:$L$418)+SUMIF(Mercado_Receita!$S$2:$S$418,"44440B2ConvencionalRuralServiço público de irrigação ruralNão se aplicaNão se aplicaNão se aplica",Mercado_Receita!$L$2:$L$418)</f>
        <v>0</v>
      </c>
      <c r="J38" s="13">
        <f>SUMIF(Mercado_Receita!$S$2:$S$418,"44470B2ConvencionalRuralServiço público de irrigação ruralNão se aplicaNão se aplicaPonta",Mercado_Receita!$L$2:$L$418)+SUMIF(Mercado_Receita!$S$2:$S$418,"44470B2ConvencionalRuralServiço público de irrigação ruralNão se aplicaNão se aplicaFora ponta",Mercado_Receita!$L$2:$L$418)+SUMIF(Mercado_Receita!$S$2:$S$418,"44470B2ConvencionalRuralServiço público de irrigação ruralNão se aplicaNão se aplicaIntermediário",Mercado_Receita!$L$2:$L$418)+SUMIF(Mercado_Receita!$S$2:$S$418,"44470B2ConvencionalRuralServiço público de irrigação ruralNão se aplicaNão se aplicaNão se aplica",Mercado_Receita!$L$2:$L$418)</f>
        <v>0</v>
      </c>
      <c r="K38" s="13">
        <f>SUMIF(Mercado_Receita!$S$2:$S$418,"44501B2ConvencionalRuralServiço público de irrigação ruralNão se aplicaNão se aplicaPonta",Mercado_Receita!$L$2:$L$418)+SUMIF(Mercado_Receita!$S$2:$S$418,"44501B2ConvencionalRuralServiço público de irrigação ruralNão se aplicaNão se aplicaFora ponta",Mercado_Receita!$L$2:$L$418)+SUMIF(Mercado_Receita!$S$2:$S$418,"44501B2ConvencionalRuralServiço público de irrigação ruralNão se aplicaNão se aplicaIntermediário",Mercado_Receita!$L$2:$L$418)+SUMIF(Mercado_Receita!$S$2:$S$418,"44501B2ConvencionalRuralServiço público de irrigação ruralNão se aplicaNão se aplicaNão se aplica",Mercado_Receita!$L$2:$L$418)</f>
        <v>0</v>
      </c>
      <c r="L38" s="13">
        <f>SUMIF(Mercado_Receita!$S$2:$S$418,"44531B2ConvencionalRuralServiço público de irrigação ruralNão se aplicaNão se aplicaPonta",Mercado_Receita!$L$2:$L$418)+SUMIF(Mercado_Receita!$S$2:$S$418,"44531B2ConvencionalRuralServiço público de irrigação ruralNão se aplicaNão se aplicaFora ponta",Mercado_Receita!$L$2:$L$418)+SUMIF(Mercado_Receita!$S$2:$S$418,"44531B2ConvencionalRuralServiço público de irrigação ruralNão se aplicaNão se aplicaIntermediário",Mercado_Receita!$L$2:$L$418)+SUMIF(Mercado_Receita!$S$2:$S$418,"44531B2ConvencionalRuralServiço público de irrigação ruralNão se aplicaNão se aplicaNão se aplica",Mercado_Receita!$L$2:$L$418)</f>
        <v>0</v>
      </c>
      <c r="M38" s="13">
        <f>SUMIF(Mercado_Receita!$S$2:$S$418,"44562B2ConvencionalRuralServiço público de irrigação ruralNão se aplicaNão se aplicaPonta",Mercado_Receita!$L$2:$L$418)+SUMIF(Mercado_Receita!$S$2:$S$418,"44562B2ConvencionalRuralServiço público de irrigação ruralNão se aplicaNão se aplicaFora ponta",Mercado_Receita!$L$2:$L$418)+SUMIF(Mercado_Receita!$S$2:$S$418,"44562B2ConvencionalRuralServiço público de irrigação ruralNão se aplicaNão se aplicaIntermediário",Mercado_Receita!$L$2:$L$418)+SUMIF(Mercado_Receita!$S$2:$S$418,"44562B2ConvencionalRuralServiço público de irrigação ruralNão se aplicaNão se aplicaNão se aplica",Mercado_Receita!$L$2:$L$418)</f>
        <v>0</v>
      </c>
      <c r="N38" s="13">
        <f>SUMIF(Mercado_Receita!$S$2:$S$418,"44593B2ConvencionalRuralServiço público de irrigação ruralNão se aplicaNão se aplicaPonta",Mercado_Receita!$L$2:$L$418)+SUMIF(Mercado_Receita!$S$2:$S$418,"44593B2ConvencionalRuralServiço público de irrigação ruralNão se aplicaNão se aplicaFora ponta",Mercado_Receita!$L$2:$L$418)+SUMIF(Mercado_Receita!$S$2:$S$418,"44593B2ConvencionalRuralServiço público de irrigação ruralNão se aplicaNão se aplicaIntermediário",Mercado_Receita!$L$2:$L$418)+SUMIF(Mercado_Receita!$S$2:$S$418,"44593B2ConvencionalRuralServiço público de irrigação ruralNão se aplicaNão se aplicaNão se aplica",Mercado_Receita!$L$2:$L$418)</f>
        <v>0</v>
      </c>
      <c r="O38" s="13">
        <f>SUMIF(Mercado_Receita!$S$2:$S$418,"44621B2ConvencionalRuralServiço público de irrigação ruralNão se aplicaNão se aplicaPonta",Mercado_Receita!$L$2:$L$418)+SUMIF(Mercado_Receita!$S$2:$S$418,"44621B2ConvencionalRuralServiço público de irrigação ruralNão se aplicaNão se aplicaFora ponta",Mercado_Receita!$L$2:$L$418)+SUMIF(Mercado_Receita!$S$2:$S$418,"44621B2ConvencionalRuralServiço público de irrigação ruralNão se aplicaNão se aplicaIntermediário",Mercado_Receita!$L$2:$L$418)+SUMIF(Mercado_Receita!$S$2:$S$418,"44621B2ConvencionalRuralServiço público de irrigação ruralNão se aplicaNão se aplicaNão se aplica",Mercado_Receita!$L$2:$L$418)</f>
        <v>0</v>
      </c>
      <c r="P38" s="13">
        <f>SUMIF(Mercado_Receita!$S$2:$S$418,"44652B2ConvencionalRuralServiço público de irrigação ruralNão se aplicaNão se aplicaPonta",Mercado_Receita!$L$2:$L$418)+SUMIF(Mercado_Receita!$S$2:$S$418,"44652B2ConvencionalRuralServiço público de irrigação ruralNão se aplicaNão se aplicaFora ponta",Mercado_Receita!$L$2:$L$418)+SUMIF(Mercado_Receita!$S$2:$S$418,"44652B2ConvencionalRuralServiço público de irrigação ruralNão se aplicaNão se aplicaIntermediário",Mercado_Receita!$L$2:$L$418)+SUMIF(Mercado_Receita!$S$2:$S$418,"44652B2ConvencionalRuralServiço público de irrigação ruralNão se aplicaNão se aplicaNão se aplica",Mercado_Receita!$L$2:$L$418)</f>
        <v>0</v>
      </c>
      <c r="Q38" s="13">
        <f>SUMIF(Mercado_Receita!$S$2:$S$418,"44682B2ConvencionalRuralServiço público de irrigação ruralNão se aplicaNão se aplicaPonta",Mercado_Receita!$L$2:$L$418)+SUMIF(Mercado_Receita!$S$2:$S$418,"44682B2ConvencionalRuralServiço público de irrigação ruralNão se aplicaNão se aplicaFora ponta",Mercado_Receita!$L$2:$L$418)+SUMIF(Mercado_Receita!$S$2:$S$418,"44682B2ConvencionalRuralServiço público de irrigação ruralNão se aplicaNão se aplicaIntermediário",Mercado_Receita!$L$2:$L$418)+SUMIF(Mercado_Receita!$S$2:$S$418,"44682B2ConvencionalRuralServiço público de irrigação ruralNão se aplicaNão se aplicaNão se aplica",Mercado_Receita!$L$2:$L$418)</f>
        <v>0</v>
      </c>
      <c r="R38" s="13">
        <f>SUMIF(Mercado_Receita!$S$2:$S$418,"44713B2ConvencionalRuralServiço público de irrigação ruralNão se aplicaNão se aplicaPonta",Mercado_Receita!$L$2:$L$418)+SUMIF(Mercado_Receita!$S$2:$S$418,"44713B2ConvencionalRuralServiço público de irrigação ruralNão se aplicaNão se aplicaFora ponta",Mercado_Receita!$L$2:$L$418)+SUMIF(Mercado_Receita!$S$2:$S$418,"44713B2ConvencionalRuralServiço público de irrigação ruralNão se aplicaNão se aplicaIntermediário",Mercado_Receita!$L$2:$L$418)+SUMIF(Mercado_Receita!$S$2:$S$418,"44713B2ConvencionalRuralServiço público de irrigação ruralNão se aplicaNão se aplicaNão se aplica",Mercado_Receita!$L$2:$L$418)</f>
        <v>0</v>
      </c>
      <c r="S38" s="13">
        <f>SUMIF(Mercado_Receita!$S$2:$S$418,"44743B2ConvencionalRuralServiço público de irrigação ruralNão se aplicaNão se aplicaPonta",Mercado_Receita!$L$2:$L$418)+SUMIF(Mercado_Receita!$S$2:$S$418,"44743B2ConvencionalRuralServiço público de irrigação ruralNão se aplicaNão se aplicaFora ponta",Mercado_Receita!$L$2:$L$418)+SUMIF(Mercado_Receita!$S$2:$S$418,"44743B2ConvencionalRuralServiço público de irrigação ruralNão se aplicaNão se aplicaIntermediário",Mercado_Receita!$L$2:$L$418)+SUMIF(Mercado_Receita!$S$2:$S$418,"44743B2ConvencionalRuralServiço público de irrigação ruralNão se aplicaNão se aplicaNão se aplica",Mercado_Receita!$L$2:$L$418)</f>
        <v>0</v>
      </c>
      <c r="T38" s="13">
        <f>SUMIF(Mercado_Receita!$S$2:$S$418,"44774B2ConvencionalRuralServiço público de irrigação ruralNão se aplicaNão se aplicaPonta",Mercado_Receita!$L$2:$L$418)+SUMIF(Mercado_Receita!$S$2:$S$418,"44774B2ConvencionalRuralServiço público de irrigação ruralNão se aplicaNão se aplicaFora ponta",Mercado_Receita!$L$2:$L$418)+SUMIF(Mercado_Receita!$S$2:$S$418,"44774B2ConvencionalRuralServiço público de irrigação ruralNão se aplicaNão se aplicaIntermediário",Mercado_Receita!$L$2:$L$418)+SUMIF(Mercado_Receita!$S$2:$S$418,"44774B2ConvencionalRuralServiço público de irrigação ruralNão se aplicaNão se aplicaNão se aplica",Mercado_Receita!$L$2:$L$418)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77"/>
      <c r="B39" s="76" t="s">
        <v>85</v>
      </c>
      <c r="C39" s="76" t="s">
        <v>44</v>
      </c>
      <c r="D39" s="12" t="s">
        <v>25</v>
      </c>
      <c r="E39" s="12" t="s">
        <v>25</v>
      </c>
      <c r="F39" s="12" t="s">
        <v>25</v>
      </c>
      <c r="G39" s="13" t="s">
        <v>74</v>
      </c>
      <c r="H39" s="13" t="s">
        <v>70</v>
      </c>
      <c r="I39" s="13">
        <f>SUMIF(Mercado_Receita!$S$2:$S$418,"44440B2Convencional pré-pagamentoRuralNão se aplicaNão se aplicaNão se aplicaPonta",Mercado_Receita!$L$2:$L$418)+SUMIF(Mercado_Receita!$S$2:$S$418,"44440B2Convencional pré-pagamentoRuralNão se aplicaNão se aplicaNão se aplicaFora ponta",Mercado_Receita!$L$2:$L$418)+SUMIF(Mercado_Receita!$S$2:$S$418,"44440B2Convencional pré-pagamentoRuralNão se aplicaNão se aplicaNão se aplicaIntermediário",Mercado_Receita!$L$2:$L$418)+SUMIF(Mercado_Receita!$S$2:$S$418,"44440B2Convencional pré-pagamentoRuralNão se aplicaNão se aplicaNão se aplicaNão se aplica",Mercado_Receita!$L$2:$L$418)</f>
        <v>0</v>
      </c>
      <c r="J39" s="13">
        <f>SUMIF(Mercado_Receita!$S$2:$S$418,"44470B2Convencional pré-pagamentoRuralNão se aplicaNão se aplicaNão se aplicaPonta",Mercado_Receita!$L$2:$L$418)+SUMIF(Mercado_Receita!$S$2:$S$418,"44470B2Convencional pré-pagamentoRuralNão se aplicaNão se aplicaNão se aplicaFora ponta",Mercado_Receita!$L$2:$L$418)+SUMIF(Mercado_Receita!$S$2:$S$418,"44470B2Convencional pré-pagamentoRuralNão se aplicaNão se aplicaNão se aplicaIntermediário",Mercado_Receita!$L$2:$L$418)+SUMIF(Mercado_Receita!$S$2:$S$418,"44470B2Convencional pré-pagamentoRuralNão se aplicaNão se aplicaNão se aplicaNão se aplica",Mercado_Receita!$L$2:$L$418)</f>
        <v>0</v>
      </c>
      <c r="K39" s="13">
        <f>SUMIF(Mercado_Receita!$S$2:$S$418,"44501B2Convencional pré-pagamentoRuralNão se aplicaNão se aplicaNão se aplicaPonta",Mercado_Receita!$L$2:$L$418)+SUMIF(Mercado_Receita!$S$2:$S$418,"44501B2Convencional pré-pagamentoRuralNão se aplicaNão se aplicaNão se aplicaFora ponta",Mercado_Receita!$L$2:$L$418)+SUMIF(Mercado_Receita!$S$2:$S$418,"44501B2Convencional pré-pagamentoRuralNão se aplicaNão se aplicaNão se aplicaIntermediário",Mercado_Receita!$L$2:$L$418)+SUMIF(Mercado_Receita!$S$2:$S$418,"44501B2Convencional pré-pagamentoRuralNão se aplicaNão se aplicaNão se aplicaNão se aplica",Mercado_Receita!$L$2:$L$418)</f>
        <v>0</v>
      </c>
      <c r="L39" s="13">
        <f>SUMIF(Mercado_Receita!$S$2:$S$418,"44531B2Convencional pré-pagamentoRuralNão se aplicaNão se aplicaNão se aplicaPonta",Mercado_Receita!$L$2:$L$418)+SUMIF(Mercado_Receita!$S$2:$S$418,"44531B2Convencional pré-pagamentoRuralNão se aplicaNão se aplicaNão se aplicaFora ponta",Mercado_Receita!$L$2:$L$418)+SUMIF(Mercado_Receita!$S$2:$S$418,"44531B2Convencional pré-pagamentoRuralNão se aplicaNão se aplicaNão se aplicaIntermediário",Mercado_Receita!$L$2:$L$418)+SUMIF(Mercado_Receita!$S$2:$S$418,"44531B2Convencional pré-pagamentoRuralNão se aplicaNão se aplicaNão se aplicaNão se aplica",Mercado_Receita!$L$2:$L$418)</f>
        <v>0</v>
      </c>
      <c r="M39" s="13">
        <f>SUMIF(Mercado_Receita!$S$2:$S$418,"44562B2Convencional pré-pagamentoRuralNão se aplicaNão se aplicaNão se aplicaPonta",Mercado_Receita!$L$2:$L$418)+SUMIF(Mercado_Receita!$S$2:$S$418,"44562B2Convencional pré-pagamentoRuralNão se aplicaNão se aplicaNão se aplicaFora ponta",Mercado_Receita!$L$2:$L$418)+SUMIF(Mercado_Receita!$S$2:$S$418,"44562B2Convencional pré-pagamentoRuralNão se aplicaNão se aplicaNão se aplicaIntermediário",Mercado_Receita!$L$2:$L$418)+SUMIF(Mercado_Receita!$S$2:$S$418,"44562B2Convencional pré-pagamentoRuralNão se aplicaNão se aplicaNão se aplicaNão se aplica",Mercado_Receita!$L$2:$L$418)</f>
        <v>0</v>
      </c>
      <c r="N39" s="13">
        <f>SUMIF(Mercado_Receita!$S$2:$S$418,"44593B2Convencional pré-pagamentoRuralNão se aplicaNão se aplicaNão se aplicaPonta",Mercado_Receita!$L$2:$L$418)+SUMIF(Mercado_Receita!$S$2:$S$418,"44593B2Convencional pré-pagamentoRuralNão se aplicaNão se aplicaNão se aplicaFora ponta",Mercado_Receita!$L$2:$L$418)+SUMIF(Mercado_Receita!$S$2:$S$418,"44593B2Convencional pré-pagamentoRuralNão se aplicaNão se aplicaNão se aplicaIntermediário",Mercado_Receita!$L$2:$L$418)+SUMIF(Mercado_Receita!$S$2:$S$418,"44593B2Convencional pré-pagamentoRuralNão se aplicaNão se aplicaNão se aplicaNão se aplica",Mercado_Receita!$L$2:$L$418)</f>
        <v>0</v>
      </c>
      <c r="O39" s="13">
        <f>SUMIF(Mercado_Receita!$S$2:$S$418,"44621B2Convencional pré-pagamentoRuralNão se aplicaNão se aplicaNão se aplicaPonta",Mercado_Receita!$L$2:$L$418)+SUMIF(Mercado_Receita!$S$2:$S$418,"44621B2Convencional pré-pagamentoRuralNão se aplicaNão se aplicaNão se aplicaFora ponta",Mercado_Receita!$L$2:$L$418)+SUMIF(Mercado_Receita!$S$2:$S$418,"44621B2Convencional pré-pagamentoRuralNão se aplicaNão se aplicaNão se aplicaIntermediário",Mercado_Receita!$L$2:$L$418)+SUMIF(Mercado_Receita!$S$2:$S$418,"44621B2Convencional pré-pagamentoRuralNão se aplicaNão se aplicaNão se aplicaNão se aplica",Mercado_Receita!$L$2:$L$418)</f>
        <v>0</v>
      </c>
      <c r="P39" s="13">
        <f>SUMIF(Mercado_Receita!$S$2:$S$418,"44652B2Convencional pré-pagamentoRuralNão se aplicaNão se aplicaNão se aplicaPonta",Mercado_Receita!$L$2:$L$418)+SUMIF(Mercado_Receita!$S$2:$S$418,"44652B2Convencional pré-pagamentoRuralNão se aplicaNão se aplicaNão se aplicaFora ponta",Mercado_Receita!$L$2:$L$418)+SUMIF(Mercado_Receita!$S$2:$S$418,"44652B2Convencional pré-pagamentoRuralNão se aplicaNão se aplicaNão se aplicaIntermediário",Mercado_Receita!$L$2:$L$418)+SUMIF(Mercado_Receita!$S$2:$S$418,"44652B2Convencional pré-pagamentoRuralNão se aplicaNão se aplicaNão se aplicaNão se aplica",Mercado_Receita!$L$2:$L$418)</f>
        <v>0</v>
      </c>
      <c r="Q39" s="13">
        <f>SUMIF(Mercado_Receita!$S$2:$S$418,"44682B2Convencional pré-pagamentoRuralNão se aplicaNão se aplicaNão se aplicaPonta",Mercado_Receita!$L$2:$L$418)+SUMIF(Mercado_Receita!$S$2:$S$418,"44682B2Convencional pré-pagamentoRuralNão se aplicaNão se aplicaNão se aplicaFora ponta",Mercado_Receita!$L$2:$L$418)+SUMIF(Mercado_Receita!$S$2:$S$418,"44682B2Convencional pré-pagamentoRuralNão se aplicaNão se aplicaNão se aplicaIntermediário",Mercado_Receita!$L$2:$L$418)+SUMIF(Mercado_Receita!$S$2:$S$418,"44682B2Convencional pré-pagamentoRuralNão se aplicaNão se aplicaNão se aplicaNão se aplica",Mercado_Receita!$L$2:$L$418)</f>
        <v>0</v>
      </c>
      <c r="R39" s="13">
        <f>SUMIF(Mercado_Receita!$S$2:$S$418,"44713B2Convencional pré-pagamentoRuralNão se aplicaNão se aplicaNão se aplicaPonta",Mercado_Receita!$L$2:$L$418)+SUMIF(Mercado_Receita!$S$2:$S$418,"44713B2Convencional pré-pagamentoRuralNão se aplicaNão se aplicaNão se aplicaFora ponta",Mercado_Receita!$L$2:$L$418)+SUMIF(Mercado_Receita!$S$2:$S$418,"44713B2Convencional pré-pagamentoRuralNão se aplicaNão se aplicaNão se aplicaIntermediário",Mercado_Receita!$L$2:$L$418)+SUMIF(Mercado_Receita!$S$2:$S$418,"44713B2Convencional pré-pagamentoRuralNão se aplicaNão se aplicaNão se aplicaNão se aplica",Mercado_Receita!$L$2:$L$418)</f>
        <v>0</v>
      </c>
      <c r="S39" s="13">
        <f>SUMIF(Mercado_Receita!$S$2:$S$418,"44743B2Convencional pré-pagamentoRuralNão se aplicaNão se aplicaNão se aplicaPonta",Mercado_Receita!$L$2:$L$418)+SUMIF(Mercado_Receita!$S$2:$S$418,"44743B2Convencional pré-pagamentoRuralNão se aplicaNão se aplicaNão se aplicaFora ponta",Mercado_Receita!$L$2:$L$418)+SUMIF(Mercado_Receita!$S$2:$S$418,"44743B2Convencional pré-pagamentoRuralNão se aplicaNão se aplicaNão se aplicaIntermediário",Mercado_Receita!$L$2:$L$418)+SUMIF(Mercado_Receita!$S$2:$S$418,"44743B2Convencional pré-pagamentoRuralNão se aplicaNão se aplicaNão se aplicaNão se aplica",Mercado_Receita!$L$2:$L$418)</f>
        <v>0</v>
      </c>
      <c r="T39" s="13">
        <f>SUMIF(Mercado_Receita!$S$2:$S$418,"44774B2Convencional pré-pagamentoRuralNão se aplicaNão se aplicaNão se aplicaPonta",Mercado_Receita!$L$2:$L$418)+SUMIF(Mercado_Receita!$S$2:$S$418,"44774B2Convencional pré-pagamentoRuralNão se aplicaNão se aplicaNão se aplicaFora ponta",Mercado_Receita!$L$2:$L$418)+SUMIF(Mercado_Receita!$S$2:$S$418,"44774B2Convencional pré-pagamentoRuralNão se aplicaNão se aplicaNão se aplicaIntermediário",Mercado_Receita!$L$2:$L$418)+SUMIF(Mercado_Receita!$S$2:$S$418,"44774B2Convencional pré-pagamentoRuralNão se aplicaNão se aplicaNão se aplicaNão se aplica",Mercado_Receita!$L$2:$L$418)</f>
        <v>0</v>
      </c>
      <c r="U39" s="13">
        <f t="shared" si="0"/>
        <v>0</v>
      </c>
      <c r="V39" s="13"/>
      <c r="W39" s="13"/>
    </row>
    <row r="40" spans="1:23" ht="11.25" customHeight="1" x14ac:dyDescent="0.3">
      <c r="A40" s="77"/>
      <c r="B40" s="77"/>
      <c r="C40" s="77"/>
      <c r="D40" s="12" t="s">
        <v>86</v>
      </c>
      <c r="E40" s="12" t="s">
        <v>25</v>
      </c>
      <c r="F40" s="12" t="s">
        <v>25</v>
      </c>
      <c r="G40" s="13" t="s">
        <v>74</v>
      </c>
      <c r="H40" s="13" t="s">
        <v>70</v>
      </c>
      <c r="I40" s="13">
        <f>SUMIF(Mercado_Receita!$S$2:$S$418,"44440B2Convencional pré-pagamentoRuralCooperativa de eletrificação ruralNão se aplicaNão se aplicaPonta",Mercado_Receita!$L$2:$L$418)+SUMIF(Mercado_Receita!$S$2:$S$418,"44440B2Convencional pré-pagamentoRuralCooperativa de eletrificação ruralNão se aplicaNão se aplicaFora ponta",Mercado_Receita!$L$2:$L$418)+SUMIF(Mercado_Receita!$S$2:$S$418,"44440B2Convencional pré-pagamentoRuralCooperativa de eletrificação ruralNão se aplicaNão se aplicaIntermediário",Mercado_Receita!$L$2:$L$418)+SUMIF(Mercado_Receita!$S$2:$S$418,"44440B2Convencional pré-pagamentoRuralCooperativa de eletrificação ruralNão se aplicaNão se aplicaNão se aplica",Mercado_Receita!$L$2:$L$418)</f>
        <v>0</v>
      </c>
      <c r="J40" s="13">
        <f>SUMIF(Mercado_Receita!$S$2:$S$418,"44470B2Convencional pré-pagamentoRuralCooperativa de eletrificação ruralNão se aplicaNão se aplicaPonta",Mercado_Receita!$L$2:$L$418)+SUMIF(Mercado_Receita!$S$2:$S$418,"44470B2Convencional pré-pagamentoRuralCooperativa de eletrificação ruralNão se aplicaNão se aplicaFora ponta",Mercado_Receita!$L$2:$L$418)+SUMIF(Mercado_Receita!$S$2:$S$418,"44470B2Convencional pré-pagamentoRuralCooperativa de eletrificação ruralNão se aplicaNão se aplicaIntermediário",Mercado_Receita!$L$2:$L$418)+SUMIF(Mercado_Receita!$S$2:$S$418,"44470B2Convencional pré-pagamentoRuralCooperativa de eletrificação ruralNão se aplicaNão se aplicaNão se aplica",Mercado_Receita!$L$2:$L$418)</f>
        <v>0</v>
      </c>
      <c r="K40" s="13">
        <f>SUMIF(Mercado_Receita!$S$2:$S$418,"44501B2Convencional pré-pagamentoRuralCooperativa de eletrificação ruralNão se aplicaNão se aplicaPonta",Mercado_Receita!$L$2:$L$418)+SUMIF(Mercado_Receita!$S$2:$S$418,"44501B2Convencional pré-pagamentoRuralCooperativa de eletrificação ruralNão se aplicaNão se aplicaFora ponta",Mercado_Receita!$L$2:$L$418)+SUMIF(Mercado_Receita!$S$2:$S$418,"44501B2Convencional pré-pagamentoRuralCooperativa de eletrificação ruralNão se aplicaNão se aplicaIntermediário",Mercado_Receita!$L$2:$L$418)+SUMIF(Mercado_Receita!$S$2:$S$418,"44501B2Convencional pré-pagamentoRuralCooperativa de eletrificação ruralNão se aplicaNão se aplicaNão se aplica",Mercado_Receita!$L$2:$L$418)</f>
        <v>0</v>
      </c>
      <c r="L40" s="13">
        <f>SUMIF(Mercado_Receita!$S$2:$S$418,"44531B2Convencional pré-pagamentoRuralCooperativa de eletrificação ruralNão se aplicaNão se aplicaPonta",Mercado_Receita!$L$2:$L$418)+SUMIF(Mercado_Receita!$S$2:$S$418,"44531B2Convencional pré-pagamentoRuralCooperativa de eletrificação ruralNão se aplicaNão se aplicaFora ponta",Mercado_Receita!$L$2:$L$418)+SUMIF(Mercado_Receita!$S$2:$S$418,"44531B2Convencional pré-pagamentoRuralCooperativa de eletrificação ruralNão se aplicaNão se aplicaIntermediário",Mercado_Receita!$L$2:$L$418)+SUMIF(Mercado_Receita!$S$2:$S$418,"44531B2Convencional pré-pagamentoRuralCooperativa de eletrificação ruralNão se aplicaNão se aplicaNão se aplica",Mercado_Receita!$L$2:$L$418)</f>
        <v>0</v>
      </c>
      <c r="M40" s="13">
        <f>SUMIF(Mercado_Receita!$S$2:$S$418,"44562B2Convencional pré-pagamentoRuralCooperativa de eletrificação ruralNão se aplicaNão se aplicaPonta",Mercado_Receita!$L$2:$L$418)+SUMIF(Mercado_Receita!$S$2:$S$418,"44562B2Convencional pré-pagamentoRuralCooperativa de eletrificação ruralNão se aplicaNão se aplicaFora ponta",Mercado_Receita!$L$2:$L$418)+SUMIF(Mercado_Receita!$S$2:$S$418,"44562B2Convencional pré-pagamentoRuralCooperativa de eletrificação ruralNão se aplicaNão se aplicaIntermediário",Mercado_Receita!$L$2:$L$418)+SUMIF(Mercado_Receita!$S$2:$S$418,"44562B2Convencional pré-pagamentoRuralCooperativa de eletrificação ruralNão se aplicaNão se aplicaNão se aplica",Mercado_Receita!$L$2:$L$418)</f>
        <v>0</v>
      </c>
      <c r="N40" s="13">
        <f>SUMIF(Mercado_Receita!$S$2:$S$418,"44593B2Convencional pré-pagamentoRuralCooperativa de eletrificação ruralNão se aplicaNão se aplicaPonta",Mercado_Receita!$L$2:$L$418)+SUMIF(Mercado_Receita!$S$2:$S$418,"44593B2Convencional pré-pagamentoRuralCooperativa de eletrificação ruralNão se aplicaNão se aplicaFora ponta",Mercado_Receita!$L$2:$L$418)+SUMIF(Mercado_Receita!$S$2:$S$418,"44593B2Convencional pré-pagamentoRuralCooperativa de eletrificação ruralNão se aplicaNão se aplicaIntermediário",Mercado_Receita!$L$2:$L$418)+SUMIF(Mercado_Receita!$S$2:$S$418,"44593B2Convencional pré-pagamentoRuralCooperativa de eletrificação ruralNão se aplicaNão se aplicaNão se aplica",Mercado_Receita!$L$2:$L$418)</f>
        <v>0</v>
      </c>
      <c r="O40" s="13">
        <f>SUMIF(Mercado_Receita!$S$2:$S$418,"44621B2Convencional pré-pagamentoRuralCooperativa de eletrificação ruralNão se aplicaNão se aplicaPonta",Mercado_Receita!$L$2:$L$418)+SUMIF(Mercado_Receita!$S$2:$S$418,"44621B2Convencional pré-pagamentoRuralCooperativa de eletrificação ruralNão se aplicaNão se aplicaFora ponta",Mercado_Receita!$L$2:$L$418)+SUMIF(Mercado_Receita!$S$2:$S$418,"44621B2Convencional pré-pagamentoRuralCooperativa de eletrificação ruralNão se aplicaNão se aplicaIntermediário",Mercado_Receita!$L$2:$L$418)+SUMIF(Mercado_Receita!$S$2:$S$418,"44621B2Convencional pré-pagamentoRuralCooperativa de eletrificação ruralNão se aplicaNão se aplicaNão se aplica",Mercado_Receita!$L$2:$L$418)</f>
        <v>0</v>
      </c>
      <c r="P40" s="13">
        <f>SUMIF(Mercado_Receita!$S$2:$S$418,"44652B2Convencional pré-pagamentoRuralCooperativa de eletrificação ruralNão se aplicaNão se aplicaPonta",Mercado_Receita!$L$2:$L$418)+SUMIF(Mercado_Receita!$S$2:$S$418,"44652B2Convencional pré-pagamentoRuralCooperativa de eletrificação ruralNão se aplicaNão se aplicaFora ponta",Mercado_Receita!$L$2:$L$418)+SUMIF(Mercado_Receita!$S$2:$S$418,"44652B2Convencional pré-pagamentoRuralCooperativa de eletrificação ruralNão se aplicaNão se aplicaIntermediário",Mercado_Receita!$L$2:$L$418)+SUMIF(Mercado_Receita!$S$2:$S$418,"44652B2Convencional pré-pagamentoRuralCooperativa de eletrificação ruralNão se aplicaNão se aplicaNão se aplica",Mercado_Receita!$L$2:$L$418)</f>
        <v>0</v>
      </c>
      <c r="Q40" s="13">
        <f>SUMIF(Mercado_Receita!$S$2:$S$418,"44682B2Convencional pré-pagamentoRuralCooperativa de eletrificação ruralNão se aplicaNão se aplicaPonta",Mercado_Receita!$L$2:$L$418)+SUMIF(Mercado_Receita!$S$2:$S$418,"44682B2Convencional pré-pagamentoRuralCooperativa de eletrificação ruralNão se aplicaNão se aplicaFora ponta",Mercado_Receita!$L$2:$L$418)+SUMIF(Mercado_Receita!$S$2:$S$418,"44682B2Convencional pré-pagamentoRuralCooperativa de eletrificação ruralNão se aplicaNão se aplicaIntermediário",Mercado_Receita!$L$2:$L$418)+SUMIF(Mercado_Receita!$S$2:$S$418,"44682B2Convencional pré-pagamentoRuralCooperativa de eletrificação ruralNão se aplicaNão se aplicaNão se aplica",Mercado_Receita!$L$2:$L$418)</f>
        <v>0</v>
      </c>
      <c r="R40" s="13">
        <f>SUMIF(Mercado_Receita!$S$2:$S$418,"44713B2Convencional pré-pagamentoRuralCooperativa de eletrificação ruralNão se aplicaNão se aplicaPonta",Mercado_Receita!$L$2:$L$418)+SUMIF(Mercado_Receita!$S$2:$S$418,"44713B2Convencional pré-pagamentoRuralCooperativa de eletrificação ruralNão se aplicaNão se aplicaFora ponta",Mercado_Receita!$L$2:$L$418)+SUMIF(Mercado_Receita!$S$2:$S$418,"44713B2Convencional pré-pagamentoRuralCooperativa de eletrificação ruralNão se aplicaNão se aplicaIntermediário",Mercado_Receita!$L$2:$L$418)+SUMIF(Mercado_Receita!$S$2:$S$418,"44713B2Convencional pré-pagamentoRuralCooperativa de eletrificação ruralNão se aplicaNão se aplicaNão se aplica",Mercado_Receita!$L$2:$L$418)</f>
        <v>0</v>
      </c>
      <c r="S40" s="13">
        <f>SUMIF(Mercado_Receita!$S$2:$S$418,"44743B2Convencional pré-pagamentoRuralCooperativa de eletrificação ruralNão se aplicaNão se aplicaPonta",Mercado_Receita!$L$2:$L$418)+SUMIF(Mercado_Receita!$S$2:$S$418,"44743B2Convencional pré-pagamentoRuralCooperativa de eletrificação ruralNão se aplicaNão se aplicaFora ponta",Mercado_Receita!$L$2:$L$418)+SUMIF(Mercado_Receita!$S$2:$S$418,"44743B2Convencional pré-pagamentoRuralCooperativa de eletrificação ruralNão se aplicaNão se aplicaIntermediário",Mercado_Receita!$L$2:$L$418)+SUMIF(Mercado_Receita!$S$2:$S$418,"44743B2Convencional pré-pagamentoRuralCooperativa de eletrificação ruralNão se aplicaNão se aplicaNão se aplica",Mercado_Receita!$L$2:$L$418)</f>
        <v>0</v>
      </c>
      <c r="T40" s="13">
        <f>SUMIF(Mercado_Receita!$S$2:$S$418,"44774B2Convencional pré-pagamentoRuralCooperativa de eletrificação ruralNão se aplicaNão se aplicaPonta",Mercado_Receita!$L$2:$L$418)+SUMIF(Mercado_Receita!$S$2:$S$418,"44774B2Convencional pré-pagamentoRuralCooperativa de eletrificação ruralNão se aplicaNão se aplicaFora ponta",Mercado_Receita!$L$2:$L$418)+SUMIF(Mercado_Receita!$S$2:$S$418,"44774B2Convencional pré-pagamentoRuralCooperativa de eletrificação ruralNão se aplicaNão se aplicaIntermediário",Mercado_Receita!$L$2:$L$418)+SUMIF(Mercado_Receita!$S$2:$S$418,"44774B2Convencional pré-pagamentoRuralCooperativa de eletrificação ruralNão se aplicaNão se aplicaNão se aplica",Mercado_Receita!$L$2:$L$418)</f>
        <v>0</v>
      </c>
      <c r="U40" s="13">
        <f t="shared" si="0"/>
        <v>0</v>
      </c>
      <c r="V40" s="13"/>
      <c r="W40" s="13"/>
    </row>
    <row r="41" spans="1:23" ht="11.25" customHeight="1" x14ac:dyDescent="0.3">
      <c r="A41" s="77"/>
      <c r="B41" s="77"/>
      <c r="C41" s="77"/>
      <c r="D41" s="12" t="s">
        <v>87</v>
      </c>
      <c r="E41" s="12" t="s">
        <v>25</v>
      </c>
      <c r="F41" s="12" t="s">
        <v>25</v>
      </c>
      <c r="G41" s="13" t="s">
        <v>74</v>
      </c>
      <c r="H41" s="13" t="s">
        <v>70</v>
      </c>
      <c r="I41" s="13">
        <f>SUMIF(Mercado_Receita!$S$2:$S$418,"44440B2Convencional pré-pagamentoRuralServiço público de irrigação ruralNão se aplicaNão se aplicaPonta",Mercado_Receita!$L$2:$L$418)+SUMIF(Mercado_Receita!$S$2:$S$418,"44440B2Convencional pré-pagamentoRuralServiço público de irrigação ruralNão se aplicaNão se aplicaFora ponta",Mercado_Receita!$L$2:$L$418)+SUMIF(Mercado_Receita!$S$2:$S$418,"44440B2Convencional pré-pagamentoRuralServiço público de irrigação ruralNão se aplicaNão se aplicaIntermediário",Mercado_Receita!$L$2:$L$418)+SUMIF(Mercado_Receita!$S$2:$S$418,"44440B2Convencional pré-pagamentoRuralServiço público de irrigação ruralNão se aplicaNão se aplicaNão se aplica",Mercado_Receita!$L$2:$L$418)</f>
        <v>0</v>
      </c>
      <c r="J41" s="13">
        <f>SUMIF(Mercado_Receita!$S$2:$S$418,"44470B2Convencional pré-pagamentoRuralServiço público de irrigação ruralNão se aplicaNão se aplicaPonta",Mercado_Receita!$L$2:$L$418)+SUMIF(Mercado_Receita!$S$2:$S$418,"44470B2Convencional pré-pagamentoRuralServiço público de irrigação ruralNão se aplicaNão se aplicaFora ponta",Mercado_Receita!$L$2:$L$418)+SUMIF(Mercado_Receita!$S$2:$S$418,"44470B2Convencional pré-pagamentoRuralServiço público de irrigação ruralNão se aplicaNão se aplicaIntermediário",Mercado_Receita!$L$2:$L$418)+SUMIF(Mercado_Receita!$S$2:$S$418,"44470B2Convencional pré-pagamentoRuralServiço público de irrigação ruralNão se aplicaNão se aplicaNão se aplica",Mercado_Receita!$L$2:$L$418)</f>
        <v>0</v>
      </c>
      <c r="K41" s="13">
        <f>SUMIF(Mercado_Receita!$S$2:$S$418,"44501B2Convencional pré-pagamentoRuralServiço público de irrigação ruralNão se aplicaNão se aplicaPonta",Mercado_Receita!$L$2:$L$418)+SUMIF(Mercado_Receita!$S$2:$S$418,"44501B2Convencional pré-pagamentoRuralServiço público de irrigação ruralNão se aplicaNão se aplicaFora ponta",Mercado_Receita!$L$2:$L$418)+SUMIF(Mercado_Receita!$S$2:$S$418,"44501B2Convencional pré-pagamentoRuralServiço público de irrigação ruralNão se aplicaNão se aplicaIntermediário",Mercado_Receita!$L$2:$L$418)+SUMIF(Mercado_Receita!$S$2:$S$418,"44501B2Convencional pré-pagamentoRuralServiço público de irrigação ruralNão se aplicaNão se aplicaNão se aplica",Mercado_Receita!$L$2:$L$418)</f>
        <v>0</v>
      </c>
      <c r="L41" s="13">
        <f>SUMIF(Mercado_Receita!$S$2:$S$418,"44531B2Convencional pré-pagamentoRuralServiço público de irrigação ruralNão se aplicaNão se aplicaPonta",Mercado_Receita!$L$2:$L$418)+SUMIF(Mercado_Receita!$S$2:$S$418,"44531B2Convencional pré-pagamentoRuralServiço público de irrigação ruralNão se aplicaNão se aplicaFora ponta",Mercado_Receita!$L$2:$L$418)+SUMIF(Mercado_Receita!$S$2:$S$418,"44531B2Convencional pré-pagamentoRuralServiço público de irrigação ruralNão se aplicaNão se aplicaIntermediário",Mercado_Receita!$L$2:$L$418)+SUMIF(Mercado_Receita!$S$2:$S$418,"44531B2Convencional pré-pagamentoRuralServiço público de irrigação ruralNão se aplicaNão se aplicaNão se aplica",Mercado_Receita!$L$2:$L$418)</f>
        <v>0</v>
      </c>
      <c r="M41" s="13">
        <f>SUMIF(Mercado_Receita!$S$2:$S$418,"44562B2Convencional pré-pagamentoRuralServiço público de irrigação ruralNão se aplicaNão se aplicaPonta",Mercado_Receita!$L$2:$L$418)+SUMIF(Mercado_Receita!$S$2:$S$418,"44562B2Convencional pré-pagamentoRuralServiço público de irrigação ruralNão se aplicaNão se aplicaFora ponta",Mercado_Receita!$L$2:$L$418)+SUMIF(Mercado_Receita!$S$2:$S$418,"44562B2Convencional pré-pagamentoRuralServiço público de irrigação ruralNão se aplicaNão se aplicaIntermediário",Mercado_Receita!$L$2:$L$418)+SUMIF(Mercado_Receita!$S$2:$S$418,"44562B2Convencional pré-pagamentoRuralServiço público de irrigação ruralNão se aplicaNão se aplicaNão se aplica",Mercado_Receita!$L$2:$L$418)</f>
        <v>0</v>
      </c>
      <c r="N41" s="13">
        <f>SUMIF(Mercado_Receita!$S$2:$S$418,"44593B2Convencional pré-pagamentoRuralServiço público de irrigação ruralNão se aplicaNão se aplicaPonta",Mercado_Receita!$L$2:$L$418)+SUMIF(Mercado_Receita!$S$2:$S$418,"44593B2Convencional pré-pagamentoRuralServiço público de irrigação ruralNão se aplicaNão se aplicaFora ponta",Mercado_Receita!$L$2:$L$418)+SUMIF(Mercado_Receita!$S$2:$S$418,"44593B2Convencional pré-pagamentoRuralServiço público de irrigação ruralNão se aplicaNão se aplicaIntermediário",Mercado_Receita!$L$2:$L$418)+SUMIF(Mercado_Receita!$S$2:$S$418,"44593B2Convencional pré-pagamentoRuralServiço público de irrigação ruralNão se aplicaNão se aplicaNão se aplica",Mercado_Receita!$L$2:$L$418)</f>
        <v>0</v>
      </c>
      <c r="O41" s="13">
        <f>SUMIF(Mercado_Receita!$S$2:$S$418,"44621B2Convencional pré-pagamentoRuralServiço público de irrigação ruralNão se aplicaNão se aplicaPonta",Mercado_Receita!$L$2:$L$418)+SUMIF(Mercado_Receita!$S$2:$S$418,"44621B2Convencional pré-pagamentoRuralServiço público de irrigação ruralNão se aplicaNão se aplicaFora ponta",Mercado_Receita!$L$2:$L$418)+SUMIF(Mercado_Receita!$S$2:$S$418,"44621B2Convencional pré-pagamentoRuralServiço público de irrigação ruralNão se aplicaNão se aplicaIntermediário",Mercado_Receita!$L$2:$L$418)+SUMIF(Mercado_Receita!$S$2:$S$418,"44621B2Convencional pré-pagamentoRuralServiço público de irrigação ruralNão se aplicaNão se aplicaNão se aplica",Mercado_Receita!$L$2:$L$418)</f>
        <v>0</v>
      </c>
      <c r="P41" s="13">
        <f>SUMIF(Mercado_Receita!$S$2:$S$418,"44652B2Convencional pré-pagamentoRuralServiço público de irrigação ruralNão se aplicaNão se aplicaPonta",Mercado_Receita!$L$2:$L$418)+SUMIF(Mercado_Receita!$S$2:$S$418,"44652B2Convencional pré-pagamentoRuralServiço público de irrigação ruralNão se aplicaNão se aplicaFora ponta",Mercado_Receita!$L$2:$L$418)+SUMIF(Mercado_Receita!$S$2:$S$418,"44652B2Convencional pré-pagamentoRuralServiço público de irrigação ruralNão se aplicaNão se aplicaIntermediário",Mercado_Receita!$L$2:$L$418)+SUMIF(Mercado_Receita!$S$2:$S$418,"44652B2Convencional pré-pagamentoRuralServiço público de irrigação ruralNão se aplicaNão se aplicaNão se aplica",Mercado_Receita!$L$2:$L$418)</f>
        <v>0</v>
      </c>
      <c r="Q41" s="13">
        <f>SUMIF(Mercado_Receita!$S$2:$S$418,"44682B2Convencional pré-pagamentoRuralServiço público de irrigação ruralNão se aplicaNão se aplicaPonta",Mercado_Receita!$L$2:$L$418)+SUMIF(Mercado_Receita!$S$2:$S$418,"44682B2Convencional pré-pagamentoRuralServiço público de irrigação ruralNão se aplicaNão se aplicaFora ponta",Mercado_Receita!$L$2:$L$418)+SUMIF(Mercado_Receita!$S$2:$S$418,"44682B2Convencional pré-pagamentoRuralServiço público de irrigação ruralNão se aplicaNão se aplicaIntermediário",Mercado_Receita!$L$2:$L$418)+SUMIF(Mercado_Receita!$S$2:$S$418,"44682B2Convencional pré-pagamentoRuralServiço público de irrigação ruralNão se aplicaNão se aplicaNão se aplica",Mercado_Receita!$L$2:$L$418)</f>
        <v>0</v>
      </c>
      <c r="R41" s="13">
        <f>SUMIF(Mercado_Receita!$S$2:$S$418,"44713B2Convencional pré-pagamentoRuralServiço público de irrigação ruralNão se aplicaNão se aplicaPonta",Mercado_Receita!$L$2:$L$418)+SUMIF(Mercado_Receita!$S$2:$S$418,"44713B2Convencional pré-pagamentoRuralServiço público de irrigação ruralNão se aplicaNão se aplicaFora ponta",Mercado_Receita!$L$2:$L$418)+SUMIF(Mercado_Receita!$S$2:$S$418,"44713B2Convencional pré-pagamentoRuralServiço público de irrigação ruralNão se aplicaNão se aplicaIntermediário",Mercado_Receita!$L$2:$L$418)+SUMIF(Mercado_Receita!$S$2:$S$418,"44713B2Convencional pré-pagamentoRuralServiço público de irrigação ruralNão se aplicaNão se aplicaNão se aplica",Mercado_Receita!$L$2:$L$418)</f>
        <v>0</v>
      </c>
      <c r="S41" s="13">
        <f>SUMIF(Mercado_Receita!$S$2:$S$418,"44743B2Convencional pré-pagamentoRuralServiço público de irrigação ruralNão se aplicaNão se aplicaPonta",Mercado_Receita!$L$2:$L$418)+SUMIF(Mercado_Receita!$S$2:$S$418,"44743B2Convencional pré-pagamentoRuralServiço público de irrigação ruralNão se aplicaNão se aplicaFora ponta",Mercado_Receita!$L$2:$L$418)+SUMIF(Mercado_Receita!$S$2:$S$418,"44743B2Convencional pré-pagamentoRuralServiço público de irrigação ruralNão se aplicaNão se aplicaIntermediário",Mercado_Receita!$L$2:$L$418)+SUMIF(Mercado_Receita!$S$2:$S$418,"44743B2Convencional pré-pagamentoRuralServiço público de irrigação ruralNão se aplicaNão se aplicaNão se aplica",Mercado_Receita!$L$2:$L$418)</f>
        <v>0</v>
      </c>
      <c r="T41" s="13">
        <f>SUMIF(Mercado_Receita!$S$2:$S$418,"44774B2Convencional pré-pagamentoRuralServiço público de irrigação ruralNão se aplicaNão se aplicaPonta",Mercado_Receita!$L$2:$L$418)+SUMIF(Mercado_Receita!$S$2:$S$418,"44774B2Convencional pré-pagamentoRuralServiço público de irrigação ruralNão se aplicaNão se aplicaFora ponta",Mercado_Receita!$L$2:$L$418)+SUMIF(Mercado_Receita!$S$2:$S$418,"44774B2Convencional pré-pagamentoRuralServiço público de irrigação ruralNão se aplicaNão se aplicaIntermediário",Mercado_Receita!$L$2:$L$418)+SUMIF(Mercado_Receita!$S$2:$S$418,"44774B2Convencional pré-pagamentoRuralServiço público de irrigação ruralNão se aplicaNão se aplicaNão se aplica",Mercado_Receita!$L$2:$L$418)</f>
        <v>0</v>
      </c>
      <c r="U41" s="13">
        <f t="shared" si="0"/>
        <v>0</v>
      </c>
      <c r="V41" s="13"/>
      <c r="W41" s="13"/>
    </row>
    <row r="42" spans="1:23" ht="11.25" customHeight="1" x14ac:dyDescent="0.3">
      <c r="A42" s="76" t="s">
        <v>35</v>
      </c>
      <c r="B42" s="76" t="s">
        <v>33</v>
      </c>
      <c r="C42" s="76" t="s">
        <v>25</v>
      </c>
      <c r="D42" s="76" t="s">
        <v>25</v>
      </c>
      <c r="E42" s="76" t="s">
        <v>25</v>
      </c>
      <c r="F42" s="76" t="s">
        <v>25</v>
      </c>
      <c r="G42" s="13" t="s">
        <v>71</v>
      </c>
      <c r="H42" s="13" t="s">
        <v>70</v>
      </c>
      <c r="I42" s="13">
        <f>SUMIF(Mercado_Receita!$S$2:$S$418,"44440B3BrancaNão se aplicaNão se aplicaNão se aplicaNão se aplicaPonta",Mercado_Receita!$L$2:$L$418)</f>
        <v>0.109</v>
      </c>
      <c r="J42" s="13">
        <f>SUMIF(Mercado_Receita!$S$2:$S$418,"44470B3BrancaNão se aplicaNão se aplicaNão se aplicaNão se aplicaPonta",Mercado_Receita!$L$2:$L$418)</f>
        <v>0.10100000000000001</v>
      </c>
      <c r="K42" s="13">
        <f>SUMIF(Mercado_Receita!$S$2:$S$418,"44501B3BrancaNão se aplicaNão se aplicaNão se aplicaNão se aplicaPonta",Mercado_Receita!$L$2:$L$418)</f>
        <v>0.10299999999999999</v>
      </c>
      <c r="L42" s="13">
        <f>SUMIF(Mercado_Receita!$S$2:$S$418,"44531B3BrancaNão se aplicaNão se aplicaNão se aplicaNão se aplicaPonta",Mercado_Receita!$L$2:$L$418)</f>
        <v>9.2999999999999999E-2</v>
      </c>
      <c r="M42" s="13">
        <f>SUMIF(Mercado_Receita!$S$2:$S$418,"44562B3BrancaNão se aplicaNão se aplicaNão se aplicaNão se aplicaPonta",Mercado_Receita!$L$2:$L$418)</f>
        <v>0.156</v>
      </c>
      <c r="N42" s="13">
        <f>SUMIF(Mercado_Receita!$S$2:$S$418,"44593B3BrancaNão se aplicaNão se aplicaNão se aplicaNão se aplicaPonta",Mercado_Receita!$L$2:$L$418)</f>
        <v>0.184</v>
      </c>
      <c r="O42" s="13">
        <f>SUMIF(Mercado_Receita!$S$2:$S$418,"44621B3BrancaNão se aplicaNão se aplicaNão se aplicaNão se aplicaPonta",Mercado_Receita!$L$2:$L$418)</f>
        <v>0</v>
      </c>
      <c r="P42" s="13">
        <f>SUMIF(Mercado_Receita!$S$2:$S$418,"44652B3BrancaNão se aplicaNão se aplicaNão se aplicaNão se aplicaPonta",Mercado_Receita!$L$2:$L$418)</f>
        <v>0</v>
      </c>
      <c r="Q42" s="13">
        <f>SUMIF(Mercado_Receita!$S$2:$S$418,"44682B3BrancaNão se aplicaNão se aplicaNão se aplicaNão se aplicaPonta",Mercado_Receita!$L$2:$L$418)</f>
        <v>0</v>
      </c>
      <c r="R42" s="13">
        <f>SUMIF(Mercado_Receita!$S$2:$S$418,"44713B3BrancaNão se aplicaNão se aplicaNão se aplicaNão se aplicaPonta",Mercado_Receita!$L$2:$L$418)</f>
        <v>0</v>
      </c>
      <c r="S42" s="13">
        <f>SUMIF(Mercado_Receita!$S$2:$S$418,"44743B3BrancaNão se aplicaNão se aplicaNão se aplicaNão se aplicaPonta",Mercado_Receita!$L$2:$L$418)</f>
        <v>0</v>
      </c>
      <c r="T42" s="13">
        <f>SUMIF(Mercado_Receita!$S$2:$S$418,"44774B3BrancaNão se aplicaNão se aplicaNão se aplicaNão se aplicaPonta",Mercado_Receita!$L$2:$L$418)</f>
        <v>0</v>
      </c>
      <c r="U42" s="13">
        <f t="shared" si="0"/>
        <v>0.746</v>
      </c>
      <c r="V42" s="13"/>
      <c r="W42" s="13"/>
    </row>
    <row r="43" spans="1:23" ht="11.25" customHeight="1" x14ac:dyDescent="0.3">
      <c r="A43" s="77"/>
      <c r="B43" s="77"/>
      <c r="C43" s="77"/>
      <c r="D43" s="77"/>
      <c r="E43" s="77"/>
      <c r="F43" s="77"/>
      <c r="G43" s="13" t="s">
        <v>83</v>
      </c>
      <c r="H43" s="13" t="s">
        <v>70</v>
      </c>
      <c r="I43" s="13">
        <f>SUMIF(Mercado_Receita!$S$2:$S$418,"44440B3BrancaNão se aplicaNão se aplicaNão se aplicaNão se aplicaIntermediário",Mercado_Receita!$L$2:$L$418)</f>
        <v>6.9000000000000006E-2</v>
      </c>
      <c r="J43" s="13">
        <f>SUMIF(Mercado_Receita!$S$2:$S$418,"44470B3BrancaNão se aplicaNão se aplicaNão se aplicaNão se aplicaIntermediário",Mercado_Receita!$L$2:$L$418)</f>
        <v>7.0999999999999994E-2</v>
      </c>
      <c r="K43" s="13">
        <f>SUMIF(Mercado_Receita!$S$2:$S$418,"44501B3BrancaNão se aplicaNão se aplicaNão se aplicaNão se aplicaIntermediário",Mercado_Receita!$L$2:$L$418)</f>
        <v>6.7000000000000004E-2</v>
      </c>
      <c r="L43" s="13">
        <f>SUMIF(Mercado_Receita!$S$2:$S$418,"44531B3BrancaNão se aplicaNão se aplicaNão se aplicaNão se aplicaIntermediário",Mercado_Receita!$L$2:$L$418)</f>
        <v>5.8000000000000003E-2</v>
      </c>
      <c r="M43" s="13">
        <f>SUMIF(Mercado_Receita!$S$2:$S$418,"44562B3BrancaNão se aplicaNão se aplicaNão se aplicaNão se aplicaIntermediário",Mercado_Receita!$L$2:$L$418)</f>
        <v>0.09</v>
      </c>
      <c r="N43" s="13">
        <f>SUMIF(Mercado_Receita!$S$2:$S$418,"44593B3BrancaNão se aplicaNão se aplicaNão se aplicaNão se aplicaIntermediário",Mercado_Receita!$L$2:$L$418)</f>
        <v>0.10199999999999999</v>
      </c>
      <c r="O43" s="13">
        <f>SUMIF(Mercado_Receita!$S$2:$S$418,"44621B3BrancaNão se aplicaNão se aplicaNão se aplicaNão se aplicaIntermediário",Mercado_Receita!$L$2:$L$418)</f>
        <v>0</v>
      </c>
      <c r="P43" s="13">
        <f>SUMIF(Mercado_Receita!$S$2:$S$418,"44652B3BrancaNão se aplicaNão se aplicaNão se aplicaNão se aplicaIntermediário",Mercado_Receita!$L$2:$L$418)</f>
        <v>0</v>
      </c>
      <c r="Q43" s="13">
        <f>SUMIF(Mercado_Receita!$S$2:$S$418,"44682B3BrancaNão se aplicaNão se aplicaNão se aplicaNão se aplicaIntermediário",Mercado_Receita!$L$2:$L$418)</f>
        <v>0</v>
      </c>
      <c r="R43" s="13">
        <f>SUMIF(Mercado_Receita!$S$2:$S$418,"44713B3BrancaNão se aplicaNão se aplicaNão se aplicaNão se aplicaIntermediário",Mercado_Receita!$L$2:$L$418)</f>
        <v>0</v>
      </c>
      <c r="S43" s="13">
        <f>SUMIF(Mercado_Receita!$S$2:$S$418,"44743B3BrancaNão se aplicaNão se aplicaNão se aplicaNão se aplicaIntermediário",Mercado_Receita!$L$2:$L$418)</f>
        <v>0</v>
      </c>
      <c r="T43" s="13">
        <f>SUMIF(Mercado_Receita!$S$2:$S$418,"44774B3BrancaNão se aplicaNão se aplicaNão se aplicaNão se aplicaIntermediário",Mercado_Receita!$L$2:$L$418)</f>
        <v>0</v>
      </c>
      <c r="U43" s="13">
        <f t="shared" si="0"/>
        <v>0.45699999999999996</v>
      </c>
      <c r="V43" s="13"/>
      <c r="W43" s="13"/>
    </row>
    <row r="44" spans="1:23" ht="11.25" customHeight="1" x14ac:dyDescent="0.3">
      <c r="A44" s="77"/>
      <c r="B44" s="77"/>
      <c r="C44" s="77"/>
      <c r="D44" s="77"/>
      <c r="E44" s="77"/>
      <c r="F44" s="77"/>
      <c r="G44" s="13" t="s">
        <v>72</v>
      </c>
      <c r="H44" s="13" t="s">
        <v>70</v>
      </c>
      <c r="I44" s="13">
        <f>SUMIF(Mercado_Receita!$S$2:$S$418,"44440B3BrancaNão se aplicaNão se aplicaNão se aplicaNão se aplicaFora ponta",Mercado_Receita!$L$2:$L$418)</f>
        <v>1.038</v>
      </c>
      <c r="J44" s="13">
        <f>SUMIF(Mercado_Receita!$S$2:$S$418,"44470B3BrancaNão se aplicaNão se aplicaNão se aplicaNão se aplicaFora ponta",Mercado_Receita!$L$2:$L$418)</f>
        <v>0.97599999999999998</v>
      </c>
      <c r="K44" s="13">
        <f>SUMIF(Mercado_Receita!$S$2:$S$418,"44501B3BrancaNão se aplicaNão se aplicaNão se aplicaNão se aplicaFora ponta",Mercado_Receita!$L$2:$L$418)</f>
        <v>0.91500000000000004</v>
      </c>
      <c r="L44" s="13">
        <f>SUMIF(Mercado_Receita!$S$2:$S$418,"44531B3BrancaNão se aplicaNão se aplicaNão se aplicaNão se aplicaFora ponta",Mercado_Receita!$L$2:$L$418)</f>
        <v>0.84399999999999997</v>
      </c>
      <c r="M44" s="13">
        <f>SUMIF(Mercado_Receita!$S$2:$S$418,"44562B3BrancaNão se aplicaNão se aplicaNão se aplicaNão se aplicaFora ponta",Mercado_Receita!$L$2:$L$418)</f>
        <v>1.236</v>
      </c>
      <c r="N44" s="13">
        <f>SUMIF(Mercado_Receita!$S$2:$S$418,"44593B3BrancaNão se aplicaNão se aplicaNão se aplicaNão se aplicaFora ponta",Mercado_Receita!$L$2:$L$418)</f>
        <v>1.349</v>
      </c>
      <c r="O44" s="13">
        <f>SUMIF(Mercado_Receita!$S$2:$S$418,"44621B3BrancaNão se aplicaNão se aplicaNão se aplicaNão se aplicaFora ponta",Mercado_Receita!$L$2:$L$418)</f>
        <v>0.12</v>
      </c>
      <c r="P44" s="13">
        <f>SUMIF(Mercado_Receita!$S$2:$S$418,"44652B3BrancaNão se aplicaNão se aplicaNão se aplicaNão se aplicaFora ponta",Mercado_Receita!$L$2:$L$418)</f>
        <v>0</v>
      </c>
      <c r="Q44" s="13">
        <f>SUMIF(Mercado_Receita!$S$2:$S$418,"44682B3BrancaNão se aplicaNão se aplicaNão se aplicaNão se aplicaFora ponta",Mercado_Receita!$L$2:$L$418)</f>
        <v>0</v>
      </c>
      <c r="R44" s="13">
        <f>SUMIF(Mercado_Receita!$S$2:$S$418,"44713B3BrancaNão se aplicaNão se aplicaNão se aplicaNão se aplicaFora ponta",Mercado_Receita!$L$2:$L$418)</f>
        <v>0</v>
      </c>
      <c r="S44" s="13">
        <f>SUMIF(Mercado_Receita!$S$2:$S$418,"44743B3BrancaNão se aplicaNão se aplicaNão se aplicaNão se aplicaFora ponta",Mercado_Receita!$L$2:$L$418)</f>
        <v>0</v>
      </c>
      <c r="T44" s="13">
        <f>SUMIF(Mercado_Receita!$S$2:$S$418,"44774B3BrancaNão se aplicaNão se aplicaNão se aplicaNão se aplicaFora ponta",Mercado_Receita!$L$2:$L$418)</f>
        <v>0</v>
      </c>
      <c r="U44" s="13">
        <f t="shared" si="0"/>
        <v>6.4780000000000006</v>
      </c>
      <c r="V44" s="13"/>
      <c r="W44" s="13"/>
    </row>
    <row r="45" spans="1:23" ht="11.25" customHeight="1" x14ac:dyDescent="0.3">
      <c r="A45" s="77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74</v>
      </c>
      <c r="H45" s="13" t="s">
        <v>70</v>
      </c>
      <c r="I45" s="13">
        <f>SUMIF(Mercado_Receita!$S$2:$S$418,"44440B3ConvencionalNão se aplicaNão se aplicaNão se aplicaNão se aplicaPonta",Mercado_Receita!$L$2:$L$418)+SUMIF(Mercado_Receita!$S$2:$S$418,"44440B3ConvencionalNão se aplicaNão se aplicaNão se aplicaNão se aplicaFora ponta",Mercado_Receita!$L$2:$L$418)+SUMIF(Mercado_Receita!$S$2:$S$418,"44440B3ConvencionalNão se aplicaNão se aplicaNão se aplicaNão se aplicaIntermediário",Mercado_Receita!$L$2:$L$418)+SUMIF(Mercado_Receita!$S$2:$S$418,"44440B3ConvencionalNão se aplicaNão se aplicaNão se aplicaNão se aplicaNão se aplica",Mercado_Receita!$L$2:$L$418)</f>
        <v>226.29900000000001</v>
      </c>
      <c r="J45" s="13">
        <f>SUMIF(Mercado_Receita!$S$2:$S$418,"44470B3ConvencionalNão se aplicaNão se aplicaNão se aplicaNão se aplicaPonta",Mercado_Receita!$L$2:$L$418)+SUMIF(Mercado_Receita!$S$2:$S$418,"44470B3ConvencionalNão se aplicaNão se aplicaNão se aplicaNão se aplicaFora ponta",Mercado_Receita!$L$2:$L$418)+SUMIF(Mercado_Receita!$S$2:$S$418,"44470B3ConvencionalNão se aplicaNão se aplicaNão se aplicaNão se aplicaIntermediário",Mercado_Receita!$L$2:$L$418)+SUMIF(Mercado_Receita!$S$2:$S$418,"44470B3ConvencionalNão se aplicaNão se aplicaNão se aplicaNão se aplicaNão se aplica",Mercado_Receita!$L$2:$L$418)</f>
        <v>230.31500000000003</v>
      </c>
      <c r="K45" s="13">
        <f>SUMIF(Mercado_Receita!$S$2:$S$418,"44501B3ConvencionalNão se aplicaNão se aplicaNão se aplicaNão se aplicaPonta",Mercado_Receita!$L$2:$L$418)+SUMIF(Mercado_Receita!$S$2:$S$418,"44501B3ConvencionalNão se aplicaNão se aplicaNão se aplicaNão se aplicaFora ponta",Mercado_Receita!$L$2:$L$418)+SUMIF(Mercado_Receita!$S$2:$S$418,"44501B3ConvencionalNão se aplicaNão se aplicaNão se aplicaNão se aplicaIntermediário",Mercado_Receita!$L$2:$L$418)+SUMIF(Mercado_Receita!$S$2:$S$418,"44501B3ConvencionalNão se aplicaNão se aplicaNão se aplicaNão se aplicaNão se aplica",Mercado_Receita!$L$2:$L$418)</f>
        <v>225.62100000000001</v>
      </c>
      <c r="L45" s="13">
        <f>SUMIF(Mercado_Receita!$S$2:$S$418,"44531B3ConvencionalNão se aplicaNão se aplicaNão se aplicaNão se aplicaPonta",Mercado_Receita!$L$2:$L$418)+SUMIF(Mercado_Receita!$S$2:$S$418,"44531B3ConvencionalNão se aplicaNão se aplicaNão se aplicaNão se aplicaFora ponta",Mercado_Receita!$L$2:$L$418)+SUMIF(Mercado_Receita!$S$2:$S$418,"44531B3ConvencionalNão se aplicaNão se aplicaNão se aplicaNão se aplicaIntermediário",Mercado_Receita!$L$2:$L$418)+SUMIF(Mercado_Receita!$S$2:$S$418,"44531B3ConvencionalNão se aplicaNão se aplicaNão se aplicaNão se aplicaNão se aplica",Mercado_Receita!$L$2:$L$418)</f>
        <v>224.42199999999997</v>
      </c>
      <c r="M45" s="13">
        <f>SUMIF(Mercado_Receita!$S$2:$S$418,"44562B3ConvencionalNão se aplicaNão se aplicaNão se aplicaNão se aplicaPonta",Mercado_Receita!$L$2:$L$418)+SUMIF(Mercado_Receita!$S$2:$S$418,"44562B3ConvencionalNão se aplicaNão se aplicaNão se aplicaNão se aplicaFora ponta",Mercado_Receita!$L$2:$L$418)+SUMIF(Mercado_Receita!$S$2:$S$418,"44562B3ConvencionalNão se aplicaNão se aplicaNão se aplicaNão se aplicaIntermediário",Mercado_Receita!$L$2:$L$418)+SUMIF(Mercado_Receita!$S$2:$S$418,"44562B3ConvencionalNão se aplicaNão se aplicaNão se aplicaNão se aplicaNão se aplica",Mercado_Receita!$L$2:$L$418)</f>
        <v>250.41200000000001</v>
      </c>
      <c r="N45" s="13">
        <f>SUMIF(Mercado_Receita!$S$2:$S$418,"44593B3ConvencionalNão se aplicaNão se aplicaNão se aplicaNão se aplicaPonta",Mercado_Receita!$L$2:$L$418)+SUMIF(Mercado_Receita!$S$2:$S$418,"44593B3ConvencionalNão se aplicaNão se aplicaNão se aplicaNão se aplicaFora ponta",Mercado_Receita!$L$2:$L$418)+SUMIF(Mercado_Receita!$S$2:$S$418,"44593B3ConvencionalNão se aplicaNão se aplicaNão se aplicaNão se aplicaIntermediário",Mercado_Receita!$L$2:$L$418)+SUMIF(Mercado_Receita!$S$2:$S$418,"44593B3ConvencionalNão se aplicaNão se aplicaNão se aplicaNão se aplicaNão se aplica",Mercado_Receita!$L$2:$L$418)</f>
        <v>259.10300000000001</v>
      </c>
      <c r="O45" s="13">
        <f>SUMIF(Mercado_Receita!$S$2:$S$418,"44621B3ConvencionalNão se aplicaNão se aplicaNão se aplicaNão se aplicaPonta",Mercado_Receita!$L$2:$L$418)+SUMIF(Mercado_Receita!$S$2:$S$418,"44621B3ConvencionalNão se aplicaNão se aplicaNão se aplicaNão se aplicaFora ponta",Mercado_Receita!$L$2:$L$418)+SUMIF(Mercado_Receita!$S$2:$S$418,"44621B3ConvencionalNão se aplicaNão se aplicaNão se aplicaNão se aplicaIntermediário",Mercado_Receita!$L$2:$L$418)+SUMIF(Mercado_Receita!$S$2:$S$418,"44621B3ConvencionalNão se aplicaNão se aplicaNão se aplicaNão se aplicaNão se aplica",Mercado_Receita!$L$2:$L$418)</f>
        <v>252.02600000000001</v>
      </c>
      <c r="P45" s="13">
        <f>SUMIF(Mercado_Receita!$S$2:$S$418,"44652B3ConvencionalNão se aplicaNão se aplicaNão se aplicaNão se aplicaPonta",Mercado_Receita!$L$2:$L$418)+SUMIF(Mercado_Receita!$S$2:$S$418,"44652B3ConvencionalNão se aplicaNão se aplicaNão se aplicaNão se aplicaFora ponta",Mercado_Receita!$L$2:$L$418)+SUMIF(Mercado_Receita!$S$2:$S$418,"44652B3ConvencionalNão se aplicaNão se aplicaNão se aplicaNão se aplicaIntermediário",Mercado_Receita!$L$2:$L$418)+SUMIF(Mercado_Receita!$S$2:$S$418,"44652B3ConvencionalNão se aplicaNão se aplicaNão se aplicaNão se aplicaNão se aplica",Mercado_Receita!$L$2:$L$418)</f>
        <v>227.054</v>
      </c>
      <c r="Q45" s="13">
        <f>SUMIF(Mercado_Receita!$S$2:$S$418,"44682B3ConvencionalNão se aplicaNão se aplicaNão se aplicaNão se aplicaPonta",Mercado_Receita!$L$2:$L$418)+SUMIF(Mercado_Receita!$S$2:$S$418,"44682B3ConvencionalNão se aplicaNão se aplicaNão se aplicaNão se aplicaFora ponta",Mercado_Receita!$L$2:$L$418)+SUMIF(Mercado_Receita!$S$2:$S$418,"44682B3ConvencionalNão se aplicaNão se aplicaNão se aplicaNão se aplicaIntermediário",Mercado_Receita!$L$2:$L$418)+SUMIF(Mercado_Receita!$S$2:$S$418,"44682B3ConvencionalNão se aplicaNão se aplicaNão se aplicaNão se aplicaNão se aplica",Mercado_Receita!$L$2:$L$418)</f>
        <v>215.434</v>
      </c>
      <c r="R45" s="13">
        <f>SUMIF(Mercado_Receita!$S$2:$S$418,"44713B3ConvencionalNão se aplicaNão se aplicaNão se aplicaNão se aplicaPonta",Mercado_Receita!$L$2:$L$418)+SUMIF(Mercado_Receita!$S$2:$S$418,"44713B3ConvencionalNão se aplicaNão se aplicaNão se aplicaNão se aplicaFora ponta",Mercado_Receita!$L$2:$L$418)+SUMIF(Mercado_Receita!$S$2:$S$418,"44713B3ConvencionalNão se aplicaNão se aplicaNão se aplicaNão se aplicaIntermediário",Mercado_Receita!$L$2:$L$418)+SUMIF(Mercado_Receita!$S$2:$S$418,"44713B3ConvencionalNão se aplicaNão se aplicaNão se aplicaNão se aplicaNão se aplica",Mercado_Receita!$L$2:$L$418)</f>
        <v>210.09200000000001</v>
      </c>
      <c r="S45" s="13">
        <f>SUMIF(Mercado_Receita!$S$2:$S$418,"44743B3ConvencionalNão se aplicaNão se aplicaNão se aplicaNão se aplicaPonta",Mercado_Receita!$L$2:$L$418)+SUMIF(Mercado_Receita!$S$2:$S$418,"44743B3ConvencionalNão se aplicaNão se aplicaNão se aplicaNão se aplicaFora ponta",Mercado_Receita!$L$2:$L$418)+SUMIF(Mercado_Receita!$S$2:$S$418,"44743B3ConvencionalNão se aplicaNão se aplicaNão se aplicaNão se aplicaIntermediário",Mercado_Receita!$L$2:$L$418)+SUMIF(Mercado_Receita!$S$2:$S$418,"44743B3ConvencionalNão se aplicaNão se aplicaNão se aplicaNão se aplicaNão se aplica",Mercado_Receita!$L$2:$L$418)</f>
        <v>187.43299999999999</v>
      </c>
      <c r="T45" s="13">
        <f>SUMIF(Mercado_Receita!$S$2:$S$418,"44774B3ConvencionalNão se aplicaNão se aplicaNão se aplicaNão se aplicaPonta",Mercado_Receita!$L$2:$L$418)+SUMIF(Mercado_Receita!$S$2:$S$418,"44774B3ConvencionalNão se aplicaNão se aplicaNão se aplicaNão se aplicaFora ponta",Mercado_Receita!$L$2:$L$418)+SUMIF(Mercado_Receita!$S$2:$S$418,"44774B3ConvencionalNão se aplicaNão se aplicaNão se aplicaNão se aplicaIntermediário",Mercado_Receita!$L$2:$L$418)+SUMIF(Mercado_Receita!$S$2:$S$418,"44774B3ConvencionalNão se aplicaNão se aplicaNão se aplicaNão se aplicaNão se aplica",Mercado_Receita!$L$2:$L$418)</f>
        <v>209.208</v>
      </c>
      <c r="U45" s="13">
        <f t="shared" si="0"/>
        <v>2717.4190000000003</v>
      </c>
      <c r="V45" s="13"/>
      <c r="W45" s="13"/>
    </row>
    <row r="46" spans="1:23" ht="11.25" customHeight="1" x14ac:dyDescent="0.3">
      <c r="A46" s="77"/>
      <c r="B46" s="12" t="s">
        <v>85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74</v>
      </c>
      <c r="H46" s="13" t="s">
        <v>70</v>
      </c>
      <c r="I46" s="13">
        <f>SUMIF(Mercado_Receita!$S$2:$S$418,"44440B3Convencional pré-pagamentoNão se aplicaNão se aplicaNão se aplicaNão se aplicaPonta",Mercado_Receita!$L$2:$L$418)+SUMIF(Mercado_Receita!$S$2:$S$418,"44440B3Convencional pré-pagamentoNão se aplicaNão se aplicaNão se aplicaNão se aplicaFora ponta",Mercado_Receita!$L$2:$L$418)+SUMIF(Mercado_Receita!$S$2:$S$418,"44440B3Convencional pré-pagamentoNão se aplicaNão se aplicaNão se aplicaNão se aplicaIntermediário",Mercado_Receita!$L$2:$L$418)+SUMIF(Mercado_Receita!$S$2:$S$418,"44440B3Convencional pré-pagamentoNão se aplicaNão se aplicaNão se aplicaNão se aplicaNão se aplica",Mercado_Receita!$L$2:$L$418)</f>
        <v>0</v>
      </c>
      <c r="J46" s="13">
        <f>SUMIF(Mercado_Receita!$S$2:$S$418,"44470B3Convencional pré-pagamentoNão se aplicaNão se aplicaNão se aplicaNão se aplicaPonta",Mercado_Receita!$L$2:$L$418)+SUMIF(Mercado_Receita!$S$2:$S$418,"44470B3Convencional pré-pagamentoNão se aplicaNão se aplicaNão se aplicaNão se aplicaFora ponta",Mercado_Receita!$L$2:$L$418)+SUMIF(Mercado_Receita!$S$2:$S$418,"44470B3Convencional pré-pagamentoNão se aplicaNão se aplicaNão se aplicaNão se aplicaIntermediário",Mercado_Receita!$L$2:$L$418)+SUMIF(Mercado_Receita!$S$2:$S$418,"44470B3Convencional pré-pagamentoNão se aplicaNão se aplicaNão se aplicaNão se aplicaNão se aplica",Mercado_Receita!$L$2:$L$418)</f>
        <v>0</v>
      </c>
      <c r="K46" s="13">
        <f>SUMIF(Mercado_Receita!$S$2:$S$418,"44501B3Convencional pré-pagamentoNão se aplicaNão se aplicaNão se aplicaNão se aplicaPonta",Mercado_Receita!$L$2:$L$418)+SUMIF(Mercado_Receita!$S$2:$S$418,"44501B3Convencional pré-pagamentoNão se aplicaNão se aplicaNão se aplicaNão se aplicaFora ponta",Mercado_Receita!$L$2:$L$418)+SUMIF(Mercado_Receita!$S$2:$S$418,"44501B3Convencional pré-pagamentoNão se aplicaNão se aplicaNão se aplicaNão se aplicaIntermediário",Mercado_Receita!$L$2:$L$418)+SUMIF(Mercado_Receita!$S$2:$S$418,"44501B3Convencional pré-pagamentoNão se aplicaNão se aplicaNão se aplicaNão se aplicaNão se aplica",Mercado_Receita!$L$2:$L$418)</f>
        <v>0</v>
      </c>
      <c r="L46" s="13">
        <f>SUMIF(Mercado_Receita!$S$2:$S$418,"44531B3Convencional pré-pagamentoNão se aplicaNão se aplicaNão se aplicaNão se aplicaPonta",Mercado_Receita!$L$2:$L$418)+SUMIF(Mercado_Receita!$S$2:$S$418,"44531B3Convencional pré-pagamentoNão se aplicaNão se aplicaNão se aplicaNão se aplicaFora ponta",Mercado_Receita!$L$2:$L$418)+SUMIF(Mercado_Receita!$S$2:$S$418,"44531B3Convencional pré-pagamentoNão se aplicaNão se aplicaNão se aplicaNão se aplicaIntermediário",Mercado_Receita!$L$2:$L$418)+SUMIF(Mercado_Receita!$S$2:$S$418,"44531B3Convencional pré-pagamentoNão se aplicaNão se aplicaNão se aplicaNão se aplicaNão se aplica",Mercado_Receita!$L$2:$L$418)</f>
        <v>0</v>
      </c>
      <c r="M46" s="13">
        <f>SUMIF(Mercado_Receita!$S$2:$S$418,"44562B3Convencional pré-pagamentoNão se aplicaNão se aplicaNão se aplicaNão se aplicaPonta",Mercado_Receita!$L$2:$L$418)+SUMIF(Mercado_Receita!$S$2:$S$418,"44562B3Convencional pré-pagamentoNão se aplicaNão se aplicaNão se aplicaNão se aplicaFora ponta",Mercado_Receita!$L$2:$L$418)+SUMIF(Mercado_Receita!$S$2:$S$418,"44562B3Convencional pré-pagamentoNão se aplicaNão se aplicaNão se aplicaNão se aplicaIntermediário",Mercado_Receita!$L$2:$L$418)+SUMIF(Mercado_Receita!$S$2:$S$418,"44562B3Convencional pré-pagamentoNão se aplicaNão se aplicaNão se aplicaNão se aplicaNão se aplica",Mercado_Receita!$L$2:$L$418)</f>
        <v>0</v>
      </c>
      <c r="N46" s="13">
        <f>SUMIF(Mercado_Receita!$S$2:$S$418,"44593B3Convencional pré-pagamentoNão se aplicaNão se aplicaNão se aplicaNão se aplicaPonta",Mercado_Receita!$L$2:$L$418)+SUMIF(Mercado_Receita!$S$2:$S$418,"44593B3Convencional pré-pagamentoNão se aplicaNão se aplicaNão se aplicaNão se aplicaFora ponta",Mercado_Receita!$L$2:$L$418)+SUMIF(Mercado_Receita!$S$2:$S$418,"44593B3Convencional pré-pagamentoNão se aplicaNão se aplicaNão se aplicaNão se aplicaIntermediário",Mercado_Receita!$L$2:$L$418)+SUMIF(Mercado_Receita!$S$2:$S$418,"44593B3Convencional pré-pagamentoNão se aplicaNão se aplicaNão se aplicaNão se aplicaNão se aplica",Mercado_Receita!$L$2:$L$418)</f>
        <v>0</v>
      </c>
      <c r="O46" s="13">
        <f>SUMIF(Mercado_Receita!$S$2:$S$418,"44621B3Convencional pré-pagamentoNão se aplicaNão se aplicaNão se aplicaNão se aplicaPonta",Mercado_Receita!$L$2:$L$418)+SUMIF(Mercado_Receita!$S$2:$S$418,"44621B3Convencional pré-pagamentoNão se aplicaNão se aplicaNão se aplicaNão se aplicaFora ponta",Mercado_Receita!$L$2:$L$418)+SUMIF(Mercado_Receita!$S$2:$S$418,"44621B3Convencional pré-pagamentoNão se aplicaNão se aplicaNão se aplicaNão se aplicaIntermediário",Mercado_Receita!$L$2:$L$418)+SUMIF(Mercado_Receita!$S$2:$S$418,"44621B3Convencional pré-pagamentoNão se aplicaNão se aplicaNão se aplicaNão se aplicaNão se aplica",Mercado_Receita!$L$2:$L$418)</f>
        <v>0</v>
      </c>
      <c r="P46" s="13">
        <f>SUMIF(Mercado_Receita!$S$2:$S$418,"44652B3Convencional pré-pagamentoNão se aplicaNão se aplicaNão se aplicaNão se aplicaPonta",Mercado_Receita!$L$2:$L$418)+SUMIF(Mercado_Receita!$S$2:$S$418,"44652B3Convencional pré-pagamentoNão se aplicaNão se aplicaNão se aplicaNão se aplicaFora ponta",Mercado_Receita!$L$2:$L$418)+SUMIF(Mercado_Receita!$S$2:$S$418,"44652B3Convencional pré-pagamentoNão se aplicaNão se aplicaNão se aplicaNão se aplicaIntermediário",Mercado_Receita!$L$2:$L$418)+SUMIF(Mercado_Receita!$S$2:$S$418,"44652B3Convencional pré-pagamentoNão se aplicaNão se aplicaNão se aplicaNão se aplicaNão se aplica",Mercado_Receita!$L$2:$L$418)</f>
        <v>0</v>
      </c>
      <c r="Q46" s="13">
        <f>SUMIF(Mercado_Receita!$S$2:$S$418,"44682B3Convencional pré-pagamentoNão se aplicaNão se aplicaNão se aplicaNão se aplicaPonta",Mercado_Receita!$L$2:$L$418)+SUMIF(Mercado_Receita!$S$2:$S$418,"44682B3Convencional pré-pagamentoNão se aplicaNão se aplicaNão se aplicaNão se aplicaFora ponta",Mercado_Receita!$L$2:$L$418)+SUMIF(Mercado_Receita!$S$2:$S$418,"44682B3Convencional pré-pagamentoNão se aplicaNão se aplicaNão se aplicaNão se aplicaIntermediário",Mercado_Receita!$L$2:$L$418)+SUMIF(Mercado_Receita!$S$2:$S$418,"44682B3Convencional pré-pagamentoNão se aplicaNão se aplicaNão se aplicaNão se aplicaNão se aplica",Mercado_Receita!$L$2:$L$418)</f>
        <v>0</v>
      </c>
      <c r="R46" s="13">
        <f>SUMIF(Mercado_Receita!$S$2:$S$418,"44713B3Convencional pré-pagamentoNão se aplicaNão se aplicaNão se aplicaNão se aplicaPonta",Mercado_Receita!$L$2:$L$418)+SUMIF(Mercado_Receita!$S$2:$S$418,"44713B3Convencional pré-pagamentoNão se aplicaNão se aplicaNão se aplicaNão se aplicaFora ponta",Mercado_Receita!$L$2:$L$418)+SUMIF(Mercado_Receita!$S$2:$S$418,"44713B3Convencional pré-pagamentoNão se aplicaNão se aplicaNão se aplicaNão se aplicaIntermediário",Mercado_Receita!$L$2:$L$418)+SUMIF(Mercado_Receita!$S$2:$S$418,"44713B3Convencional pré-pagamentoNão se aplicaNão se aplicaNão se aplicaNão se aplicaNão se aplica",Mercado_Receita!$L$2:$L$418)</f>
        <v>0</v>
      </c>
      <c r="S46" s="13">
        <f>SUMIF(Mercado_Receita!$S$2:$S$418,"44743B3Convencional pré-pagamentoNão se aplicaNão se aplicaNão se aplicaNão se aplicaPonta",Mercado_Receita!$L$2:$L$418)+SUMIF(Mercado_Receita!$S$2:$S$418,"44743B3Convencional pré-pagamentoNão se aplicaNão se aplicaNão se aplicaNão se aplicaFora ponta",Mercado_Receita!$L$2:$L$418)+SUMIF(Mercado_Receita!$S$2:$S$418,"44743B3Convencional pré-pagamentoNão se aplicaNão se aplicaNão se aplicaNão se aplicaIntermediário",Mercado_Receita!$L$2:$L$418)+SUMIF(Mercado_Receita!$S$2:$S$418,"44743B3Convencional pré-pagamentoNão se aplicaNão se aplicaNão se aplicaNão se aplicaNão se aplica",Mercado_Receita!$L$2:$L$418)</f>
        <v>0</v>
      </c>
      <c r="T46" s="13">
        <f>SUMIF(Mercado_Receita!$S$2:$S$418,"44774B3Convencional pré-pagamentoNão se aplicaNão se aplicaNão se aplicaNão se aplicaPonta",Mercado_Receita!$L$2:$L$418)+SUMIF(Mercado_Receita!$S$2:$S$418,"44774B3Convencional pré-pagamentoNão se aplicaNão se aplicaNão se aplicaNão se aplicaFora ponta",Mercado_Receita!$L$2:$L$418)+SUMIF(Mercado_Receita!$S$2:$S$418,"44774B3Convencional pré-pagamentoNão se aplicaNão se aplicaNão se aplicaNão se aplicaIntermediário",Mercado_Receita!$L$2:$L$418)+SUMIF(Mercado_Receita!$S$2:$S$418,"44774B3Convencional pré-pagamentoNão se aplicaNão se aplicaNão se aplicaNão se aplicaNão se aplica",Mercado_Receita!$L$2:$L$418)</f>
        <v>0</v>
      </c>
      <c r="U46" s="13">
        <f t="shared" si="0"/>
        <v>0</v>
      </c>
      <c r="V46" s="13"/>
      <c r="W46" s="13"/>
    </row>
    <row r="47" spans="1:23" ht="11.25" customHeight="1" x14ac:dyDescent="0.3">
      <c r="A47" s="76" t="s">
        <v>46</v>
      </c>
      <c r="B47" s="76" t="s">
        <v>23</v>
      </c>
      <c r="C47" s="76" t="s">
        <v>47</v>
      </c>
      <c r="D47" s="12" t="s">
        <v>48</v>
      </c>
      <c r="E47" s="12" t="s">
        <v>25</v>
      </c>
      <c r="F47" s="12" t="s">
        <v>25</v>
      </c>
      <c r="G47" s="13" t="s">
        <v>74</v>
      </c>
      <c r="H47" s="13" t="s">
        <v>70</v>
      </c>
      <c r="I47" s="13">
        <f>SUMIF(Mercado_Receita!$S$2:$S$418,"44440B4ConvencionalIluminação públicaIluminação pública – B4aNão se aplicaNão se aplicaPonta",Mercado_Receita!$L$2:$L$418)+SUMIF(Mercado_Receita!$S$2:$S$418,"44440B4ConvencionalIluminação públicaIluminação pública – B4aNão se aplicaNão se aplicaFora ponta",Mercado_Receita!$L$2:$L$418)+SUMIF(Mercado_Receita!$S$2:$S$418,"44440B4ConvencionalIluminação públicaIluminação pública – B4aNão se aplicaNão se aplicaIntermediário",Mercado_Receita!$L$2:$L$418)+SUMIF(Mercado_Receita!$S$2:$S$418,"44440B4ConvencionalIluminação públicaIluminação pública – B4aNão se aplicaNão se aplicaNão se aplica",Mercado_Receita!$L$2:$L$418)</f>
        <v>191.27699999999999</v>
      </c>
      <c r="J47" s="13">
        <f>SUMIF(Mercado_Receita!$S$2:$S$418,"44470B4ConvencionalIluminação públicaIluminação pública – B4aNão se aplicaNão se aplicaPonta",Mercado_Receita!$L$2:$L$418)+SUMIF(Mercado_Receita!$S$2:$S$418,"44470B4ConvencionalIluminação públicaIluminação pública – B4aNão se aplicaNão se aplicaFora ponta",Mercado_Receita!$L$2:$L$418)+SUMIF(Mercado_Receita!$S$2:$S$418,"44470B4ConvencionalIluminação públicaIluminação pública – B4aNão se aplicaNão se aplicaIntermediário",Mercado_Receita!$L$2:$L$418)+SUMIF(Mercado_Receita!$S$2:$S$418,"44470B4ConvencionalIluminação públicaIluminação pública – B4aNão se aplicaNão se aplicaNão se aplica",Mercado_Receita!$L$2:$L$418)</f>
        <v>191.27699999999999</v>
      </c>
      <c r="K47" s="13">
        <f>SUMIF(Mercado_Receita!$S$2:$S$418,"44501B4ConvencionalIluminação públicaIluminação pública – B4aNão se aplicaNão se aplicaPonta",Mercado_Receita!$L$2:$L$418)+SUMIF(Mercado_Receita!$S$2:$S$418,"44501B4ConvencionalIluminação públicaIluminação pública – B4aNão se aplicaNão se aplicaFora ponta",Mercado_Receita!$L$2:$L$418)+SUMIF(Mercado_Receita!$S$2:$S$418,"44501B4ConvencionalIluminação públicaIluminação pública – B4aNão se aplicaNão se aplicaIntermediário",Mercado_Receita!$L$2:$L$418)+SUMIF(Mercado_Receita!$S$2:$S$418,"44501B4ConvencionalIluminação públicaIluminação pública – B4aNão se aplicaNão se aplicaNão se aplica",Mercado_Receita!$L$2:$L$418)</f>
        <v>191.27699999999999</v>
      </c>
      <c r="L47" s="13">
        <f>SUMIF(Mercado_Receita!$S$2:$S$418,"44531B4ConvencionalIluminação públicaIluminação pública – B4aNão se aplicaNão se aplicaPonta",Mercado_Receita!$L$2:$L$418)+SUMIF(Mercado_Receita!$S$2:$S$418,"44531B4ConvencionalIluminação públicaIluminação pública – B4aNão se aplicaNão se aplicaFora ponta",Mercado_Receita!$L$2:$L$418)+SUMIF(Mercado_Receita!$S$2:$S$418,"44531B4ConvencionalIluminação públicaIluminação pública – B4aNão se aplicaNão se aplicaIntermediário",Mercado_Receita!$L$2:$L$418)+SUMIF(Mercado_Receita!$S$2:$S$418,"44531B4ConvencionalIluminação públicaIluminação pública – B4aNão se aplicaNão se aplicaNão se aplica",Mercado_Receita!$L$2:$L$418)</f>
        <v>191.27699999999999</v>
      </c>
      <c r="M47" s="13">
        <f>SUMIF(Mercado_Receita!$S$2:$S$418,"44562B4ConvencionalIluminação públicaIluminação pública – B4aNão se aplicaNão se aplicaPonta",Mercado_Receita!$L$2:$L$418)+SUMIF(Mercado_Receita!$S$2:$S$418,"44562B4ConvencionalIluminação públicaIluminação pública – B4aNão se aplicaNão se aplicaFora ponta",Mercado_Receita!$L$2:$L$418)+SUMIF(Mercado_Receita!$S$2:$S$418,"44562B4ConvencionalIluminação públicaIluminação pública – B4aNão se aplicaNão se aplicaIntermediário",Mercado_Receita!$L$2:$L$418)+SUMIF(Mercado_Receita!$S$2:$S$418,"44562B4ConvencionalIluminação públicaIluminação pública – B4aNão se aplicaNão se aplicaNão se aplica",Mercado_Receita!$L$2:$L$418)</f>
        <v>191.27699999999999</v>
      </c>
      <c r="N47" s="13">
        <f>SUMIF(Mercado_Receita!$S$2:$S$418,"44593B4ConvencionalIluminação públicaIluminação pública – B4aNão se aplicaNão se aplicaPonta",Mercado_Receita!$L$2:$L$418)+SUMIF(Mercado_Receita!$S$2:$S$418,"44593B4ConvencionalIluminação públicaIluminação pública – B4aNão se aplicaNão se aplicaFora ponta",Mercado_Receita!$L$2:$L$418)+SUMIF(Mercado_Receita!$S$2:$S$418,"44593B4ConvencionalIluminação públicaIluminação pública – B4aNão se aplicaNão se aplicaIntermediário",Mercado_Receita!$L$2:$L$418)+SUMIF(Mercado_Receita!$S$2:$S$418,"44593B4ConvencionalIluminação públicaIluminação pública – B4aNão se aplicaNão se aplicaNão se aplica",Mercado_Receita!$L$2:$L$418)</f>
        <v>191.27699999999999</v>
      </c>
      <c r="O47" s="13">
        <f>SUMIF(Mercado_Receita!$S$2:$S$418,"44621B4ConvencionalIluminação públicaIluminação pública – B4aNão se aplicaNão se aplicaPonta",Mercado_Receita!$L$2:$L$418)+SUMIF(Mercado_Receita!$S$2:$S$418,"44621B4ConvencionalIluminação públicaIluminação pública – B4aNão se aplicaNão se aplicaFora ponta",Mercado_Receita!$L$2:$L$418)+SUMIF(Mercado_Receita!$S$2:$S$418,"44621B4ConvencionalIluminação públicaIluminação pública – B4aNão se aplicaNão se aplicaIntermediário",Mercado_Receita!$L$2:$L$418)+SUMIF(Mercado_Receita!$S$2:$S$418,"44621B4ConvencionalIluminação públicaIluminação pública – B4aNão se aplicaNão se aplicaNão se aplica",Mercado_Receita!$L$2:$L$418)</f>
        <v>191.27699999999999</v>
      </c>
      <c r="P47" s="13">
        <f>SUMIF(Mercado_Receita!$S$2:$S$418,"44652B4ConvencionalIluminação públicaIluminação pública – B4aNão se aplicaNão se aplicaPonta",Mercado_Receita!$L$2:$L$418)+SUMIF(Mercado_Receita!$S$2:$S$418,"44652B4ConvencionalIluminação públicaIluminação pública – B4aNão se aplicaNão se aplicaFora ponta",Mercado_Receita!$L$2:$L$418)+SUMIF(Mercado_Receita!$S$2:$S$418,"44652B4ConvencionalIluminação públicaIluminação pública – B4aNão se aplicaNão se aplicaIntermediário",Mercado_Receita!$L$2:$L$418)+SUMIF(Mercado_Receita!$S$2:$S$418,"44652B4ConvencionalIluminação públicaIluminação pública – B4aNão se aplicaNão se aplicaNão se aplica",Mercado_Receita!$L$2:$L$418)</f>
        <v>191.27699999999999</v>
      </c>
      <c r="Q47" s="13">
        <f>SUMIF(Mercado_Receita!$S$2:$S$418,"44682B4ConvencionalIluminação públicaIluminação pública – B4aNão se aplicaNão se aplicaPonta",Mercado_Receita!$L$2:$L$418)+SUMIF(Mercado_Receita!$S$2:$S$418,"44682B4ConvencionalIluminação públicaIluminação pública – B4aNão se aplicaNão se aplicaFora ponta",Mercado_Receita!$L$2:$L$418)+SUMIF(Mercado_Receita!$S$2:$S$418,"44682B4ConvencionalIluminação públicaIluminação pública – B4aNão se aplicaNão se aplicaIntermediário",Mercado_Receita!$L$2:$L$418)+SUMIF(Mercado_Receita!$S$2:$S$418,"44682B4ConvencionalIluminação públicaIluminação pública – B4aNão se aplicaNão se aplicaNão se aplica",Mercado_Receita!$L$2:$L$418)</f>
        <v>191.27699999999999</v>
      </c>
      <c r="R47" s="13">
        <f>SUMIF(Mercado_Receita!$S$2:$S$418,"44713B4ConvencionalIluminação públicaIluminação pública – B4aNão se aplicaNão se aplicaPonta",Mercado_Receita!$L$2:$L$418)+SUMIF(Mercado_Receita!$S$2:$S$418,"44713B4ConvencionalIluminação públicaIluminação pública – B4aNão se aplicaNão se aplicaFora ponta",Mercado_Receita!$L$2:$L$418)+SUMIF(Mercado_Receita!$S$2:$S$418,"44713B4ConvencionalIluminação públicaIluminação pública – B4aNão se aplicaNão se aplicaIntermediário",Mercado_Receita!$L$2:$L$418)+SUMIF(Mercado_Receita!$S$2:$S$418,"44713B4ConvencionalIluminação públicaIluminação pública – B4aNão se aplicaNão se aplicaNão se aplica",Mercado_Receita!$L$2:$L$418)</f>
        <v>235.31200000000001</v>
      </c>
      <c r="S47" s="13">
        <f>SUMIF(Mercado_Receita!$S$2:$S$418,"44743B4ConvencionalIluminação públicaIluminação pública – B4aNão se aplicaNão se aplicaPonta",Mercado_Receita!$L$2:$L$418)+SUMIF(Mercado_Receita!$S$2:$S$418,"44743B4ConvencionalIluminação públicaIluminação pública – B4aNão se aplicaNão se aplicaFora ponta",Mercado_Receita!$L$2:$L$418)+SUMIF(Mercado_Receita!$S$2:$S$418,"44743B4ConvencionalIluminação públicaIluminação pública – B4aNão se aplicaNão se aplicaIntermediário",Mercado_Receita!$L$2:$L$418)+SUMIF(Mercado_Receita!$S$2:$S$418,"44743B4ConvencionalIluminação públicaIluminação pública – B4aNão se aplicaNão se aplicaNão se aplica",Mercado_Receita!$L$2:$L$418)</f>
        <v>262.262</v>
      </c>
      <c r="T47" s="13">
        <f>SUMIF(Mercado_Receita!$S$2:$S$418,"44774B4ConvencionalIluminação públicaIluminação pública – B4aNão se aplicaNão se aplicaPonta",Mercado_Receita!$L$2:$L$418)+SUMIF(Mercado_Receita!$S$2:$S$418,"44774B4ConvencionalIluminação públicaIluminação pública – B4aNão se aplicaNão se aplicaFora ponta",Mercado_Receita!$L$2:$L$418)+SUMIF(Mercado_Receita!$S$2:$S$418,"44774B4ConvencionalIluminação públicaIluminação pública – B4aNão se aplicaNão se aplicaIntermediário",Mercado_Receita!$L$2:$L$418)+SUMIF(Mercado_Receita!$S$2:$S$418,"44774B4ConvencionalIluminação públicaIluminação pública – B4aNão se aplicaNão se aplicaNão se aplica",Mercado_Receita!$L$2:$L$418)</f>
        <v>276.28800000000001</v>
      </c>
      <c r="U47" s="13">
        <f t="shared" si="0"/>
        <v>2495.3550000000005</v>
      </c>
      <c r="V47" s="13"/>
      <c r="W47" s="13"/>
    </row>
    <row r="48" spans="1:23" ht="11.25" customHeight="1" x14ac:dyDescent="0.3">
      <c r="A48" s="77"/>
      <c r="B48" s="77"/>
      <c r="C48" s="77"/>
      <c r="D48" s="13" t="s">
        <v>49</v>
      </c>
      <c r="E48" s="13" t="s">
        <v>25</v>
      </c>
      <c r="F48" s="13" t="s">
        <v>25</v>
      </c>
      <c r="G48" s="13" t="s">
        <v>74</v>
      </c>
      <c r="H48" s="13" t="s">
        <v>70</v>
      </c>
      <c r="I48" s="13">
        <f>SUMIF(Mercado_Receita!$S$2:$S$418,"44440B4ConvencionalIluminação públicaIluminação pública – B4bNão se aplicaNão se aplicaPonta",Mercado_Receita!$L$2:$L$418)+SUMIF(Mercado_Receita!$S$2:$S$418,"44440B4ConvencionalIluminação públicaIluminação pública – B4bNão se aplicaNão se aplicaFora ponta",Mercado_Receita!$L$2:$L$418)+SUMIF(Mercado_Receita!$S$2:$S$418,"44440B4ConvencionalIluminação públicaIluminação pública – B4bNão se aplicaNão se aplicaIntermediário",Mercado_Receita!$L$2:$L$418)+SUMIF(Mercado_Receita!$S$2:$S$418,"44440B4ConvencionalIluminação públicaIluminação pública – B4bNão se aplicaNão se aplicaNão se aplica",Mercado_Receita!$L$2:$L$418)</f>
        <v>128.18199999999999</v>
      </c>
      <c r="J48" s="13">
        <f>SUMIF(Mercado_Receita!$S$2:$S$418,"44470B4ConvencionalIluminação públicaIluminação pública – B4bNão se aplicaNão se aplicaPonta",Mercado_Receita!$L$2:$L$418)+SUMIF(Mercado_Receita!$S$2:$S$418,"44470B4ConvencionalIluminação públicaIluminação pública – B4bNão se aplicaNão se aplicaFora ponta",Mercado_Receita!$L$2:$L$418)+SUMIF(Mercado_Receita!$S$2:$S$418,"44470B4ConvencionalIluminação públicaIluminação pública – B4bNão se aplicaNão se aplicaIntermediário",Mercado_Receita!$L$2:$L$418)+SUMIF(Mercado_Receita!$S$2:$S$418,"44470B4ConvencionalIluminação públicaIluminação pública – B4bNão se aplicaNão se aplicaNão se aplica",Mercado_Receita!$L$2:$L$418)</f>
        <v>130.39699999999999</v>
      </c>
      <c r="K48" s="13">
        <f>SUMIF(Mercado_Receita!$S$2:$S$418,"44501B4ConvencionalIluminação públicaIluminação pública – B4bNão se aplicaNão se aplicaPonta",Mercado_Receita!$L$2:$L$418)+SUMIF(Mercado_Receita!$S$2:$S$418,"44501B4ConvencionalIluminação públicaIluminação pública – B4bNão se aplicaNão se aplicaFora ponta",Mercado_Receita!$L$2:$L$418)+SUMIF(Mercado_Receita!$S$2:$S$418,"44501B4ConvencionalIluminação públicaIluminação pública – B4bNão se aplicaNão se aplicaIntermediário",Mercado_Receita!$L$2:$L$418)+SUMIF(Mercado_Receita!$S$2:$S$418,"44501B4ConvencionalIluminação públicaIluminação pública – B4bNão se aplicaNão se aplicaNão se aplica",Mercado_Receita!$L$2:$L$418)</f>
        <v>130.57300000000001</v>
      </c>
      <c r="L48" s="13">
        <f>SUMIF(Mercado_Receita!$S$2:$S$418,"44531B4ConvencionalIluminação públicaIluminação pública – B4bNão se aplicaNão se aplicaPonta",Mercado_Receita!$L$2:$L$418)+SUMIF(Mercado_Receita!$S$2:$S$418,"44531B4ConvencionalIluminação públicaIluminação pública – B4bNão se aplicaNão se aplicaFora ponta",Mercado_Receita!$L$2:$L$418)+SUMIF(Mercado_Receita!$S$2:$S$418,"44531B4ConvencionalIluminação públicaIluminação pública – B4bNão se aplicaNão se aplicaIntermediário",Mercado_Receita!$L$2:$L$418)+SUMIF(Mercado_Receita!$S$2:$S$418,"44531B4ConvencionalIluminação públicaIluminação pública – B4bNão se aplicaNão se aplicaNão se aplica",Mercado_Receita!$L$2:$L$418)</f>
        <v>130.57300000000001</v>
      </c>
      <c r="M48" s="13">
        <f>SUMIF(Mercado_Receita!$S$2:$S$418,"44562B4ConvencionalIluminação públicaIluminação pública – B4bNão se aplicaNão se aplicaPonta",Mercado_Receita!$L$2:$L$418)+SUMIF(Mercado_Receita!$S$2:$S$418,"44562B4ConvencionalIluminação públicaIluminação pública – B4bNão se aplicaNão se aplicaFora ponta",Mercado_Receita!$L$2:$L$418)+SUMIF(Mercado_Receita!$S$2:$S$418,"44562B4ConvencionalIluminação públicaIluminação pública – B4bNão se aplicaNão se aplicaIntermediário",Mercado_Receita!$L$2:$L$418)+SUMIF(Mercado_Receita!$S$2:$S$418,"44562B4ConvencionalIluminação públicaIluminação pública – B4bNão se aplicaNão se aplicaNão se aplica",Mercado_Receita!$L$2:$L$418)</f>
        <v>130.57300000000001</v>
      </c>
      <c r="N48" s="13">
        <f>SUMIF(Mercado_Receita!$S$2:$S$418,"44593B4ConvencionalIluminação públicaIluminação pública – B4bNão se aplicaNão se aplicaPonta",Mercado_Receita!$L$2:$L$418)+SUMIF(Mercado_Receita!$S$2:$S$418,"44593B4ConvencionalIluminação públicaIluminação pública – B4bNão se aplicaNão se aplicaFora ponta",Mercado_Receita!$L$2:$L$418)+SUMIF(Mercado_Receita!$S$2:$S$418,"44593B4ConvencionalIluminação públicaIluminação pública – B4bNão se aplicaNão se aplicaIntermediário",Mercado_Receita!$L$2:$L$418)+SUMIF(Mercado_Receita!$S$2:$S$418,"44593B4ConvencionalIluminação públicaIluminação pública – B4bNão se aplicaNão se aplicaNão se aplica",Mercado_Receita!$L$2:$L$418)</f>
        <v>130.57300000000001</v>
      </c>
      <c r="O48" s="13">
        <f>SUMIF(Mercado_Receita!$S$2:$S$418,"44621B4ConvencionalIluminação públicaIluminação pública – B4bNão se aplicaNão se aplicaPonta",Mercado_Receita!$L$2:$L$418)+SUMIF(Mercado_Receita!$S$2:$S$418,"44621B4ConvencionalIluminação públicaIluminação pública – B4bNão se aplicaNão se aplicaFora ponta",Mercado_Receita!$L$2:$L$418)+SUMIF(Mercado_Receita!$S$2:$S$418,"44621B4ConvencionalIluminação públicaIluminação pública – B4bNão se aplicaNão se aplicaIntermediário",Mercado_Receita!$L$2:$L$418)+SUMIF(Mercado_Receita!$S$2:$S$418,"44621B4ConvencionalIluminação públicaIluminação pública – B4bNão se aplicaNão se aplicaNão se aplica",Mercado_Receita!$L$2:$L$418)</f>
        <v>130.57300000000001</v>
      </c>
      <c r="P48" s="13">
        <f>SUMIF(Mercado_Receita!$S$2:$S$418,"44652B4ConvencionalIluminação públicaIluminação pública – B4bNão se aplicaNão se aplicaPonta",Mercado_Receita!$L$2:$L$418)+SUMIF(Mercado_Receita!$S$2:$S$418,"44652B4ConvencionalIluminação públicaIluminação pública – B4bNão se aplicaNão se aplicaFora ponta",Mercado_Receita!$L$2:$L$418)+SUMIF(Mercado_Receita!$S$2:$S$418,"44652B4ConvencionalIluminação públicaIluminação pública – B4bNão se aplicaNão se aplicaIntermediário",Mercado_Receita!$L$2:$L$418)+SUMIF(Mercado_Receita!$S$2:$S$418,"44652B4ConvencionalIluminação públicaIluminação pública – B4bNão se aplicaNão se aplicaNão se aplica",Mercado_Receita!$L$2:$L$418)</f>
        <v>130.57300000000001</v>
      </c>
      <c r="Q48" s="13">
        <f>SUMIF(Mercado_Receita!$S$2:$S$418,"44682B4ConvencionalIluminação públicaIluminação pública – B4bNão se aplicaNão se aplicaPonta",Mercado_Receita!$L$2:$L$418)+SUMIF(Mercado_Receita!$S$2:$S$418,"44682B4ConvencionalIluminação públicaIluminação pública – B4bNão se aplicaNão se aplicaFora ponta",Mercado_Receita!$L$2:$L$418)+SUMIF(Mercado_Receita!$S$2:$S$418,"44682B4ConvencionalIluminação públicaIluminação pública – B4bNão se aplicaNão se aplicaIntermediário",Mercado_Receita!$L$2:$L$418)+SUMIF(Mercado_Receita!$S$2:$S$418,"44682B4ConvencionalIluminação públicaIluminação pública – B4bNão se aplicaNão se aplicaNão se aplica",Mercado_Receita!$L$2:$L$418)</f>
        <v>130.57300000000001</v>
      </c>
      <c r="R48" s="13">
        <f>SUMIF(Mercado_Receita!$S$2:$S$418,"44713B4ConvencionalIluminação públicaIluminação pública – B4bNão se aplicaNão se aplicaPonta",Mercado_Receita!$L$2:$L$418)+SUMIF(Mercado_Receita!$S$2:$S$418,"44713B4ConvencionalIluminação públicaIluminação pública – B4bNão se aplicaNão se aplicaFora ponta",Mercado_Receita!$L$2:$L$418)+SUMIF(Mercado_Receita!$S$2:$S$418,"44713B4ConvencionalIluminação públicaIluminação pública – B4bNão se aplicaNão se aplicaIntermediário",Mercado_Receita!$L$2:$L$418)+SUMIF(Mercado_Receita!$S$2:$S$418,"44713B4ConvencionalIluminação públicaIluminação pública – B4bNão se aplicaNão se aplicaNão se aplica",Mercado_Receita!$L$2:$L$418)</f>
        <v>133.34200000000001</v>
      </c>
      <c r="S48" s="13">
        <f>SUMIF(Mercado_Receita!$S$2:$S$418,"44743B4ConvencionalIluminação públicaIluminação pública – B4bNão se aplicaNão se aplicaPonta",Mercado_Receita!$L$2:$L$418)+SUMIF(Mercado_Receita!$S$2:$S$418,"44743B4ConvencionalIluminação públicaIluminação pública – B4bNão se aplicaNão se aplicaFora ponta",Mercado_Receita!$L$2:$L$418)+SUMIF(Mercado_Receita!$S$2:$S$418,"44743B4ConvencionalIluminação públicaIluminação pública – B4bNão se aplicaNão se aplicaIntermediário",Mercado_Receita!$L$2:$L$418)+SUMIF(Mercado_Receita!$S$2:$S$418,"44743B4ConvencionalIluminação públicaIluminação pública – B4bNão se aplicaNão se aplicaNão se aplica",Mercado_Receita!$L$2:$L$418)</f>
        <v>137.452</v>
      </c>
      <c r="T48" s="13">
        <f>SUMIF(Mercado_Receita!$S$2:$S$418,"44774B4ConvencionalIluminação públicaIluminação pública – B4bNão se aplicaNão se aplicaPonta",Mercado_Receita!$L$2:$L$418)+SUMIF(Mercado_Receita!$S$2:$S$418,"44774B4ConvencionalIluminação públicaIluminação pública – B4bNão se aplicaNão se aplicaFora ponta",Mercado_Receita!$L$2:$L$418)+SUMIF(Mercado_Receita!$S$2:$S$418,"44774B4ConvencionalIluminação públicaIluminação pública – B4bNão se aplicaNão se aplicaIntermediário",Mercado_Receita!$L$2:$L$418)+SUMIF(Mercado_Receita!$S$2:$S$418,"44774B4ConvencionalIluminação públicaIluminação pública – B4bNão se aplicaNão se aplicaNão se aplica",Mercado_Receita!$L$2:$L$418)</f>
        <v>123.929</v>
      </c>
      <c r="U48" s="13">
        <f t="shared" si="0"/>
        <v>1567.3130000000001</v>
      </c>
      <c r="V48" s="13"/>
      <c r="W48" s="13"/>
    </row>
    <row r="49" spans="1:23" ht="11.25" customHeight="1" x14ac:dyDescent="0.3">
      <c r="A49" s="78" t="s">
        <v>498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13"/>
      <c r="W49" s="13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2196-8E02-4037-A760-4C87CCDBFFC3}">
  <dimension ref="A1:AD40"/>
  <sheetViews>
    <sheetView showGridLines="0" workbookViewId="0">
      <selection sqref="A1:W40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20" width="6.33203125" style="9" bestFit="1" customWidth="1"/>
    <col min="21" max="21" width="13" style="9" bestFit="1" customWidth="1"/>
    <col min="22" max="16384" width="8.88671875" style="9"/>
  </cols>
  <sheetData>
    <row r="1" spans="1:30" ht="11.25" customHeight="1" x14ac:dyDescent="0.3">
      <c r="A1" s="10" t="s">
        <v>60</v>
      </c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68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6" t="s">
        <v>37</v>
      </c>
      <c r="B2" s="76" t="s">
        <v>69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71</v>
      </c>
      <c r="H2" s="13" t="s">
        <v>70</v>
      </c>
      <c r="I2" s="13">
        <f>SUMIF(Mercado_Receita!$T$2:$T$418,"44440A4Energia horáriaNão se aplicaNão se aplicaNão se aplicaNão se aplicaPonta",Mercado_Receita!$N$2:$N$418)</f>
        <v>45.978000000000002</v>
      </c>
      <c r="J2" s="13">
        <f>SUMIF(Mercado_Receita!$T$2:$T$418,"44470A4Energia horáriaNão se aplicaNão se aplicaNão se aplicaNão se aplicaPonta",Mercado_Receita!$N$2:$N$418)</f>
        <v>37.058</v>
      </c>
      <c r="K2" s="13">
        <f>SUMIF(Mercado_Receita!$T$2:$T$418,"44501A4Energia horáriaNão se aplicaNão se aplicaNão se aplicaNão se aplicaPonta",Mercado_Receita!$N$2:$N$418)</f>
        <v>45.71</v>
      </c>
      <c r="L2" s="13">
        <f>SUMIF(Mercado_Receita!$T$2:$T$418,"44531A4Energia horáriaNão se aplicaNão se aplicaNão se aplicaNão se aplicaPonta",Mercado_Receita!$N$2:$N$418)</f>
        <v>44.142999999999994</v>
      </c>
      <c r="M2" s="13">
        <f>SUMIF(Mercado_Receita!$T$2:$T$418,"44562A4Energia horáriaNão se aplicaNão se aplicaNão se aplicaNão se aplicaPonta",Mercado_Receita!$N$2:$N$418)</f>
        <v>42.165000000000006</v>
      </c>
      <c r="N2" s="13">
        <f>SUMIF(Mercado_Receita!$T$2:$T$418,"44593A4Energia horáriaNão se aplicaNão se aplicaNão se aplicaNão se aplicaPonta",Mercado_Receita!$N$2:$N$418)</f>
        <v>40.076000000000001</v>
      </c>
      <c r="O2" s="13">
        <f>SUMIF(Mercado_Receita!$T$2:$T$418,"44621A4Energia horáriaNão se aplicaNão se aplicaNão se aplicaNão se aplicaPonta",Mercado_Receita!$N$2:$N$418)</f>
        <v>41.254000000000005</v>
      </c>
      <c r="P2" s="13">
        <f>SUMIF(Mercado_Receita!$T$2:$T$418,"44652A4Energia horáriaNão se aplicaNão se aplicaNão se aplicaNão se aplicaPonta",Mercado_Receita!$N$2:$N$418)</f>
        <v>34.731000000000002</v>
      </c>
      <c r="Q2" s="13">
        <f>SUMIF(Mercado_Receita!$T$2:$T$418,"44682A4Energia horáriaNão se aplicaNão se aplicaNão se aplicaNão se aplicaPonta",Mercado_Receita!$N$2:$N$418)</f>
        <v>36.649000000000001</v>
      </c>
      <c r="R2" s="13">
        <f>SUMIF(Mercado_Receita!$T$2:$T$418,"44713A4Energia horáriaNão se aplicaNão se aplicaNão se aplicaNão se aplicaPonta",Mercado_Receita!$N$2:$N$418)</f>
        <v>37.761000000000003</v>
      </c>
      <c r="S2" s="13">
        <f>SUMIF(Mercado_Receita!$T$2:$T$418,"44743A4Energia horáriaNão se aplicaNão se aplicaNão se aplicaNão se aplicaPonta",Mercado_Receita!$N$2:$N$418)</f>
        <v>46.972999999999999</v>
      </c>
      <c r="T2" s="13">
        <f>SUMIF(Mercado_Receita!$T$2:$T$418,"44774A4Energia horáriaNão se aplicaNão se aplicaNão se aplicaNão se aplicaPonta",Mercado_Receita!$N$2:$N$418)</f>
        <v>45.207999999999998</v>
      </c>
      <c r="U2" s="13">
        <f t="shared" ref="U2:U39" si="0">SUM(I2:T2)</f>
        <v>497.70600000000002</v>
      </c>
      <c r="V2" s="13"/>
      <c r="W2" s="13"/>
    </row>
    <row r="3" spans="1:30" ht="11.25" customHeight="1" x14ac:dyDescent="0.3">
      <c r="A3" s="77"/>
      <c r="B3" s="77"/>
      <c r="C3" s="77"/>
      <c r="D3" s="77"/>
      <c r="E3" s="77"/>
      <c r="F3" s="77"/>
      <c r="G3" s="13" t="s">
        <v>72</v>
      </c>
      <c r="H3" s="13" t="s">
        <v>70</v>
      </c>
      <c r="I3" s="13">
        <f>SUMIF(Mercado_Receita!$T$2:$T$418,"44440A4Energia horáriaNão se aplicaNão se aplicaNão se aplicaNão se aplicaFora ponta",Mercado_Receita!$N$2:$N$418)</f>
        <v>692.54499999999996</v>
      </c>
      <c r="J3" s="13">
        <f>SUMIF(Mercado_Receita!$T$2:$T$418,"44470A4Energia horáriaNão se aplicaNão se aplicaNão se aplicaNão se aplicaFora ponta",Mercado_Receita!$N$2:$N$418)</f>
        <v>685.14200000000005</v>
      </c>
      <c r="K3" s="13">
        <f>SUMIF(Mercado_Receita!$T$2:$T$418,"44501A4Energia horáriaNão se aplicaNão se aplicaNão se aplicaNão se aplicaFora ponta",Mercado_Receita!$N$2:$N$418)</f>
        <v>728.16600000000005</v>
      </c>
      <c r="L3" s="13">
        <f>SUMIF(Mercado_Receita!$T$2:$T$418,"44531A4Energia horáriaNão se aplicaNão se aplicaNão se aplicaNão se aplicaFora ponta",Mercado_Receita!$N$2:$N$418)</f>
        <v>718.226</v>
      </c>
      <c r="M3" s="13">
        <f>SUMIF(Mercado_Receita!$T$2:$T$418,"44562A4Energia horáriaNão se aplicaNão se aplicaNão se aplicaNão se aplicaFora ponta",Mercado_Receita!$N$2:$N$418)</f>
        <v>693.3119999999999</v>
      </c>
      <c r="N3" s="13">
        <f>SUMIF(Mercado_Receita!$T$2:$T$418,"44593A4Energia horáriaNão se aplicaNão se aplicaNão se aplicaNão se aplicaFora ponta",Mercado_Receita!$N$2:$N$418)</f>
        <v>660.77700000000004</v>
      </c>
      <c r="O3" s="13">
        <f>SUMIF(Mercado_Receita!$T$2:$T$418,"44621A4Energia horáriaNão se aplicaNão se aplicaNão se aplicaNão se aplicaFora ponta",Mercado_Receita!$N$2:$N$418)</f>
        <v>695.97800000000007</v>
      </c>
      <c r="P3" s="13">
        <f>SUMIF(Mercado_Receita!$T$2:$T$418,"44652A4Energia horáriaNão se aplicaNão se aplicaNão se aplicaNão se aplicaFora ponta",Mercado_Receita!$N$2:$N$418)</f>
        <v>713.495</v>
      </c>
      <c r="Q3" s="13">
        <f>SUMIF(Mercado_Receita!$T$2:$T$418,"44682A4Energia horáriaNão se aplicaNão se aplicaNão se aplicaNão se aplicaFora ponta",Mercado_Receita!$N$2:$N$418)</f>
        <v>739.58</v>
      </c>
      <c r="R3" s="13">
        <f>SUMIF(Mercado_Receita!$T$2:$T$418,"44713A4Energia horáriaNão se aplicaNão se aplicaNão se aplicaNão se aplicaFora ponta",Mercado_Receita!$N$2:$N$418)</f>
        <v>670.41599999999994</v>
      </c>
      <c r="S3" s="13">
        <f>SUMIF(Mercado_Receita!$T$2:$T$418,"44743A4Energia horáriaNão se aplicaNão se aplicaNão se aplicaNão se aplicaFora ponta",Mercado_Receita!$N$2:$N$418)</f>
        <v>771.11</v>
      </c>
      <c r="T3" s="13">
        <f>SUMIF(Mercado_Receita!$T$2:$T$418,"44774A4Energia horáriaNão se aplicaNão se aplicaNão se aplicaNão se aplicaFora ponta",Mercado_Receita!$N$2:$N$418)</f>
        <v>771.85400000000016</v>
      </c>
      <c r="U3" s="13">
        <f t="shared" si="0"/>
        <v>8540.6009999999987</v>
      </c>
      <c r="V3" s="13"/>
      <c r="W3" s="13"/>
    </row>
    <row r="4" spans="1:30" ht="11.25" customHeight="1" x14ac:dyDescent="0.3">
      <c r="A4" s="77"/>
      <c r="B4" s="12" t="s">
        <v>73</v>
      </c>
      <c r="C4" s="12" t="s">
        <v>25</v>
      </c>
      <c r="D4" s="12" t="s">
        <v>25</v>
      </c>
      <c r="E4" s="12" t="s">
        <v>25</v>
      </c>
      <c r="F4" s="12" t="s">
        <v>25</v>
      </c>
      <c r="G4" s="13" t="s">
        <v>74</v>
      </c>
      <c r="H4" s="13" t="s">
        <v>70</v>
      </c>
      <c r="I4" s="13">
        <f>SUMIF(Mercado_Receita!$T$2:$T$418,"44440A4Energia convencionalNão se aplicaNão se aplicaNão se aplicaNão se aplicaNão se aplica",Mercado_Receita!$N$2:$N$418)</f>
        <v>0</v>
      </c>
      <c r="J4" s="13">
        <f>SUMIF(Mercado_Receita!$T$2:$T$418,"44470A4Energia convencionalNão se aplicaNão se aplicaNão se aplicaNão se aplicaNão se aplica",Mercado_Receita!$N$2:$N$418)</f>
        <v>0</v>
      </c>
      <c r="K4" s="13">
        <f>SUMIF(Mercado_Receita!$T$2:$T$418,"44501A4Energia convencionalNão se aplicaNão se aplicaNão se aplicaNão se aplicaNão se aplica",Mercado_Receita!$N$2:$N$418)</f>
        <v>0</v>
      </c>
      <c r="L4" s="13">
        <f>SUMIF(Mercado_Receita!$T$2:$T$418,"44531A4Energia convencionalNão se aplicaNão se aplicaNão se aplicaNão se aplicaNão se aplica",Mercado_Receita!$N$2:$N$418)</f>
        <v>0</v>
      </c>
      <c r="M4" s="13">
        <f>SUMIF(Mercado_Receita!$T$2:$T$418,"44562A4Energia convencionalNão se aplicaNão se aplicaNão se aplicaNão se aplicaNão se aplica",Mercado_Receita!$N$2:$N$418)</f>
        <v>0</v>
      </c>
      <c r="N4" s="13">
        <f>SUMIF(Mercado_Receita!$T$2:$T$418,"44593A4Energia convencionalNão se aplicaNão se aplicaNão se aplicaNão se aplicaNão se aplica",Mercado_Receita!$N$2:$N$418)</f>
        <v>0</v>
      </c>
      <c r="O4" s="13">
        <f>SUMIF(Mercado_Receita!$T$2:$T$418,"44621A4Energia convencionalNão se aplicaNão se aplicaNão se aplicaNão se aplicaNão se aplica",Mercado_Receita!$N$2:$N$418)</f>
        <v>0</v>
      </c>
      <c r="P4" s="13">
        <f>SUMIF(Mercado_Receita!$T$2:$T$418,"44652A4Energia convencionalNão se aplicaNão se aplicaNão se aplicaNão se aplicaNão se aplica",Mercado_Receita!$N$2:$N$418)</f>
        <v>0</v>
      </c>
      <c r="Q4" s="13">
        <f>SUMIF(Mercado_Receita!$T$2:$T$418,"44682A4Energia convencionalNão se aplicaNão se aplicaNão se aplicaNão se aplicaNão se aplica",Mercado_Receita!$N$2:$N$418)</f>
        <v>0</v>
      </c>
      <c r="R4" s="13">
        <f>SUMIF(Mercado_Receita!$T$2:$T$418,"44713A4Energia convencionalNão se aplicaNão se aplicaNão se aplicaNão se aplicaNão se aplica",Mercado_Receita!$N$2:$N$418)</f>
        <v>0</v>
      </c>
      <c r="S4" s="13">
        <f>SUMIF(Mercado_Receita!$T$2:$T$418,"44743A4Energia convencionalNão se aplicaNão se aplicaNão se aplicaNão se aplicaNão se aplica",Mercado_Receita!$N$2:$N$418)</f>
        <v>0</v>
      </c>
      <c r="T4" s="13">
        <f>SUMIF(Mercado_Receita!$T$2:$T$418,"44774A4Energia convencionalNão se aplicaNão se aplicaNão se aplicaNão se aplicaNão se aplica",Mercado_Receita!$N$2:$N$418)</f>
        <v>0</v>
      </c>
      <c r="U4" s="13">
        <f t="shared" si="0"/>
        <v>0</v>
      </c>
      <c r="V4" s="13"/>
      <c r="W4" s="13"/>
    </row>
    <row r="5" spans="1:30" ht="11.25" customHeight="1" x14ac:dyDescent="0.3">
      <c r="A5" s="76" t="s">
        <v>22</v>
      </c>
      <c r="B5" s="76" t="s">
        <v>69</v>
      </c>
      <c r="C5" s="76" t="s">
        <v>24</v>
      </c>
      <c r="D5" s="76" t="s">
        <v>24</v>
      </c>
      <c r="E5" s="76" t="s">
        <v>25</v>
      </c>
      <c r="F5" s="76" t="s">
        <v>25</v>
      </c>
      <c r="G5" s="13" t="s">
        <v>71</v>
      </c>
      <c r="H5" s="13" t="s">
        <v>70</v>
      </c>
      <c r="I5" s="13">
        <f>SUMIF(Mercado_Receita!$T$2:$T$418,"44440B1Energia horáriaResidencialResidencialNão se aplicaNão se aplicaPonta",Mercado_Receita!$N$2:$N$418)</f>
        <v>0</v>
      </c>
      <c r="J5" s="13">
        <f>SUMIF(Mercado_Receita!$T$2:$T$418,"44470B1Energia horáriaResidencialResidencialNão se aplicaNão se aplicaPonta",Mercado_Receita!$N$2:$N$418)</f>
        <v>6.6000000000000003E-2</v>
      </c>
      <c r="K5" s="13">
        <f>SUMIF(Mercado_Receita!$T$2:$T$418,"44501B1Energia horáriaResidencialResidencialNão se aplicaNão se aplicaPonta",Mercado_Receita!$N$2:$N$418)</f>
        <v>3.3000000000000002E-2</v>
      </c>
      <c r="L5" s="13">
        <f>SUMIF(Mercado_Receita!$T$2:$T$418,"44531B1Energia horáriaResidencialResidencialNão se aplicaNão se aplicaPonta",Mercado_Receita!$N$2:$N$418)</f>
        <v>4.5999999999999999E-2</v>
      </c>
      <c r="M5" s="13">
        <f>SUMIF(Mercado_Receita!$T$2:$T$418,"44562B1Energia horáriaResidencialResidencialNão se aplicaNão se aplicaPonta",Mercado_Receita!$N$2:$N$418)</f>
        <v>6.8000000000000005E-2</v>
      </c>
      <c r="N5" s="13">
        <f>SUMIF(Mercado_Receita!$T$2:$T$418,"44593B1Energia horáriaResidencialResidencialNão se aplicaNão se aplicaPonta",Mercado_Receita!$N$2:$N$418)</f>
        <v>3.4000000000000002E-2</v>
      </c>
      <c r="O5" s="13">
        <f>SUMIF(Mercado_Receita!$T$2:$T$418,"44621B1Energia horáriaResidencialResidencialNão se aplicaNão se aplicaPonta",Mercado_Receita!$N$2:$N$418)</f>
        <v>1.7999999999999999E-2</v>
      </c>
      <c r="P5" s="13">
        <f>SUMIF(Mercado_Receita!$T$2:$T$418,"44652B1Energia horáriaResidencialResidencialNão se aplicaNão se aplicaPonta",Mercado_Receita!$N$2:$N$418)</f>
        <v>6.5000000000000002E-2</v>
      </c>
      <c r="Q5" s="13">
        <f>SUMIF(Mercado_Receita!$T$2:$T$418,"44682B1Energia horáriaResidencialResidencialNão se aplicaNão se aplicaPonta",Mercado_Receita!$N$2:$N$418)</f>
        <v>9.6000000000000002E-2</v>
      </c>
      <c r="R5" s="13">
        <f>SUMIF(Mercado_Receita!$T$2:$T$418,"44713B1Energia horáriaResidencialResidencialNão se aplicaNão se aplicaPonta",Mercado_Receita!$N$2:$N$418)</f>
        <v>8.4000000000000005E-2</v>
      </c>
      <c r="S5" s="13">
        <f>SUMIF(Mercado_Receita!$T$2:$T$418,"44743B1Energia horáriaResidencialResidencialNão se aplicaNão se aplicaPonta",Mercado_Receita!$N$2:$N$418)</f>
        <v>8.4000000000000005E-2</v>
      </c>
      <c r="T5" s="13">
        <f>SUMIF(Mercado_Receita!$T$2:$T$418,"44774B1Energia horáriaResidencialResidencialNão se aplicaNão se aplicaPonta",Mercado_Receita!$N$2:$N$418)</f>
        <v>7.3999999999999996E-2</v>
      </c>
      <c r="U5" s="13">
        <f t="shared" si="0"/>
        <v>0.66799999999999993</v>
      </c>
      <c r="V5" s="13"/>
      <c r="W5" s="13"/>
    </row>
    <row r="6" spans="1:30" ht="11.25" customHeight="1" x14ac:dyDescent="0.3">
      <c r="A6" s="77"/>
      <c r="B6" s="77"/>
      <c r="C6" s="77"/>
      <c r="D6" s="77"/>
      <c r="E6" s="77"/>
      <c r="F6" s="77"/>
      <c r="G6" s="13" t="s">
        <v>83</v>
      </c>
      <c r="H6" s="13" t="s">
        <v>70</v>
      </c>
      <c r="I6" s="13">
        <f>SUMIF(Mercado_Receita!$T$2:$T$418,"44440B1Energia horáriaResidencialResidencialNão se aplicaNão se aplicaIntermediário",Mercado_Receita!$N$2:$N$418)</f>
        <v>0</v>
      </c>
      <c r="J6" s="13">
        <f>SUMIF(Mercado_Receita!$T$2:$T$418,"44470B1Energia horáriaResidencialResidencialNão se aplicaNão se aplicaIntermediário",Mercado_Receita!$N$2:$N$418)</f>
        <v>0.04</v>
      </c>
      <c r="K6" s="13">
        <f>SUMIF(Mercado_Receita!$T$2:$T$418,"44501B1Energia horáriaResidencialResidencialNão se aplicaNão se aplicaIntermediário",Mercado_Receita!$N$2:$N$418)</f>
        <v>2.7E-2</v>
      </c>
      <c r="L6" s="13">
        <f>SUMIF(Mercado_Receita!$T$2:$T$418,"44531B1Energia horáriaResidencialResidencialNão se aplicaNão se aplicaIntermediário",Mercado_Receita!$N$2:$N$418)</f>
        <v>3.5000000000000003E-2</v>
      </c>
      <c r="M6" s="13">
        <f>SUMIF(Mercado_Receita!$T$2:$T$418,"44562B1Energia horáriaResidencialResidencialNão se aplicaNão se aplicaIntermediário",Mercado_Receita!$N$2:$N$418)</f>
        <v>5.0999999999999997E-2</v>
      </c>
      <c r="N6" s="13">
        <f>SUMIF(Mercado_Receita!$T$2:$T$418,"44593B1Energia horáriaResidencialResidencialNão se aplicaNão se aplicaIntermediário",Mercado_Receita!$N$2:$N$418)</f>
        <v>1.2999999999999999E-2</v>
      </c>
      <c r="O6" s="13">
        <f>SUMIF(Mercado_Receita!$T$2:$T$418,"44621B1Energia horáriaResidencialResidencialNão se aplicaNão se aplicaIntermediário",Mercado_Receita!$N$2:$N$418)</f>
        <v>0</v>
      </c>
      <c r="P6" s="13">
        <f>SUMIF(Mercado_Receita!$T$2:$T$418,"44652B1Energia horáriaResidencialResidencialNão se aplicaNão se aplicaIntermediário",Mercado_Receita!$N$2:$N$418)</f>
        <v>2.5999999999999999E-2</v>
      </c>
      <c r="Q6" s="13">
        <f>SUMIF(Mercado_Receita!$T$2:$T$418,"44682B1Energia horáriaResidencialResidencialNão se aplicaNão se aplicaIntermediário",Mercado_Receita!$N$2:$N$418)</f>
        <v>3.5999999999999997E-2</v>
      </c>
      <c r="R6" s="13">
        <f>SUMIF(Mercado_Receita!$T$2:$T$418,"44713B1Energia horáriaResidencialResidencialNão se aplicaNão se aplicaIntermediário",Mercado_Receita!$N$2:$N$418)</f>
        <v>4.8000000000000001E-2</v>
      </c>
      <c r="S6" s="13">
        <f>SUMIF(Mercado_Receita!$T$2:$T$418,"44743B1Energia horáriaResidencialResidencialNão se aplicaNão se aplicaIntermediário",Mercado_Receita!$N$2:$N$418)</f>
        <v>3.5999999999999997E-2</v>
      </c>
      <c r="T6" s="13">
        <f>SUMIF(Mercado_Receita!$T$2:$T$418,"44774B1Energia horáriaResidencialResidencialNão se aplicaNão se aplicaIntermediário",Mercado_Receita!$N$2:$N$418)</f>
        <v>2.8000000000000001E-2</v>
      </c>
      <c r="U6" s="13">
        <f t="shared" si="0"/>
        <v>0.34</v>
      </c>
      <c r="V6" s="13"/>
      <c r="W6" s="13"/>
    </row>
    <row r="7" spans="1:30" ht="11.25" customHeight="1" x14ac:dyDescent="0.3">
      <c r="A7" s="77"/>
      <c r="B7" s="77"/>
      <c r="C7" s="77"/>
      <c r="D7" s="77"/>
      <c r="E7" s="77"/>
      <c r="F7" s="77"/>
      <c r="G7" s="13" t="s">
        <v>72</v>
      </c>
      <c r="H7" s="13" t="s">
        <v>70</v>
      </c>
      <c r="I7" s="13">
        <f>SUMIF(Mercado_Receita!$T$2:$T$418,"44440B1Energia horáriaResidencialResidencialNão se aplicaNão se aplicaFora ponta",Mercado_Receita!$N$2:$N$418)</f>
        <v>0.15</v>
      </c>
      <c r="J7" s="13">
        <f>SUMIF(Mercado_Receita!$T$2:$T$418,"44470B1Energia horáriaResidencialResidencialNão se aplicaNão se aplicaFora ponta",Mercado_Receita!$N$2:$N$418)</f>
        <v>0.76800000000000002</v>
      </c>
      <c r="K7" s="13">
        <f>SUMIF(Mercado_Receita!$T$2:$T$418,"44501B1Energia horáriaResidencialResidencialNão se aplicaNão se aplicaFora ponta",Mercado_Receita!$N$2:$N$418)</f>
        <v>0.51400000000000001</v>
      </c>
      <c r="L7" s="13">
        <f>SUMIF(Mercado_Receita!$T$2:$T$418,"44531B1Energia horáriaResidencialResidencialNão se aplicaNão se aplicaFora ponta",Mercado_Receita!$N$2:$N$418)</f>
        <v>0.625</v>
      </c>
      <c r="M7" s="13">
        <f>SUMIF(Mercado_Receita!$T$2:$T$418,"44562B1Energia horáriaResidencialResidencialNão se aplicaNão se aplicaFora ponta",Mercado_Receita!$N$2:$N$418)</f>
        <v>1.395</v>
      </c>
      <c r="N7" s="13">
        <f>SUMIF(Mercado_Receita!$T$2:$T$418,"44593B1Energia horáriaResidencialResidencialNão se aplicaNão se aplicaFora ponta",Mercado_Receita!$N$2:$N$418)</f>
        <v>0.75900000000000001</v>
      </c>
      <c r="O7" s="13">
        <f>SUMIF(Mercado_Receita!$T$2:$T$418,"44621B1Energia horáriaResidencialResidencialNão se aplicaNão se aplicaFora ponta",Mercado_Receita!$N$2:$N$418)</f>
        <v>0.64500000000000002</v>
      </c>
      <c r="P7" s="13">
        <f>SUMIF(Mercado_Receita!$T$2:$T$418,"44652B1Energia horáriaResidencialResidencialNão se aplicaNão se aplicaFora ponta",Mercado_Receita!$N$2:$N$418)</f>
        <v>0.85399999999999998</v>
      </c>
      <c r="Q7" s="13">
        <f>SUMIF(Mercado_Receita!$T$2:$T$418,"44682B1Energia horáriaResidencialResidencialNão se aplicaNão se aplicaFora ponta",Mercado_Receita!$N$2:$N$418)</f>
        <v>0.95899999999999996</v>
      </c>
      <c r="R7" s="13">
        <f>SUMIF(Mercado_Receita!$T$2:$T$418,"44713B1Energia horáriaResidencialResidencialNão se aplicaNão se aplicaFora ponta",Mercado_Receita!$N$2:$N$418)</f>
        <v>0.72699999999999998</v>
      </c>
      <c r="S7" s="13">
        <f>SUMIF(Mercado_Receita!$T$2:$T$418,"44743B1Energia horáriaResidencialResidencialNão se aplicaNão se aplicaFora ponta",Mercado_Receita!$N$2:$N$418)</f>
        <v>0.58499999999999996</v>
      </c>
      <c r="T7" s="13">
        <f>SUMIF(Mercado_Receita!$T$2:$T$418,"44774B1Energia horáriaResidencialResidencialNão se aplicaNão se aplicaFora ponta",Mercado_Receita!$N$2:$N$418)</f>
        <v>0.68</v>
      </c>
      <c r="U7" s="13">
        <f t="shared" si="0"/>
        <v>8.6609999999999996</v>
      </c>
      <c r="V7" s="13"/>
      <c r="W7" s="13"/>
    </row>
    <row r="8" spans="1:30" ht="11.25" customHeight="1" x14ac:dyDescent="0.3">
      <c r="A8" s="77"/>
      <c r="B8" s="76" t="s">
        <v>73</v>
      </c>
      <c r="C8" s="76" t="s">
        <v>24</v>
      </c>
      <c r="D8" s="12" t="s">
        <v>24</v>
      </c>
      <c r="E8" s="12" t="s">
        <v>25</v>
      </c>
      <c r="F8" s="12" t="s">
        <v>25</v>
      </c>
      <c r="G8" s="13" t="s">
        <v>74</v>
      </c>
      <c r="H8" s="13" t="s">
        <v>70</v>
      </c>
      <c r="I8" s="13">
        <f>SUMIF(Mercado_Receita!$T$2:$T$418,"44440B1Energia convencionalResidencialResidencialNão se aplicaNão se aplicaNão se aplica",Mercado_Receita!$N$2:$N$418)</f>
        <v>1224.386</v>
      </c>
      <c r="J8" s="13">
        <f>SUMIF(Mercado_Receita!$T$2:$T$418,"44470B1Energia convencionalResidencialResidencialNão se aplicaNão se aplicaNão se aplica",Mercado_Receita!$N$2:$N$418)</f>
        <v>1220.1860000000001</v>
      </c>
      <c r="K8" s="13">
        <f>SUMIF(Mercado_Receita!$T$2:$T$418,"44501B1Energia convencionalResidencialResidencialNão se aplicaNão se aplicaNão se aplica",Mercado_Receita!$N$2:$N$418)</f>
        <v>1208.7329999999999</v>
      </c>
      <c r="L8" s="13">
        <f>SUMIF(Mercado_Receita!$T$2:$T$418,"44531B1Energia convencionalResidencialResidencialNão se aplicaNão se aplicaNão se aplica",Mercado_Receita!$N$2:$N$418)</f>
        <v>1187.5200000000002</v>
      </c>
      <c r="M8" s="13">
        <f>SUMIF(Mercado_Receita!$T$2:$T$418,"44562B1Energia convencionalResidencialResidencialNão se aplicaNão se aplicaNão se aplica",Mercado_Receita!$N$2:$N$418)</f>
        <v>1532.3689999999999</v>
      </c>
      <c r="N8" s="13">
        <f>SUMIF(Mercado_Receita!$T$2:$T$418,"44593B1Energia convencionalResidencialResidencialNão se aplicaNão se aplicaNão se aplica",Mercado_Receita!$N$2:$N$418)</f>
        <v>1593.9449999999997</v>
      </c>
      <c r="O8" s="13">
        <f>SUMIF(Mercado_Receita!$T$2:$T$418,"44621B1Energia convencionalResidencialResidencialNão se aplicaNão se aplicaNão se aplica",Mercado_Receita!$N$2:$N$418)</f>
        <v>1478.0549999999998</v>
      </c>
      <c r="P8" s="13">
        <f>SUMIF(Mercado_Receita!$T$2:$T$418,"44652B1Energia convencionalResidencialResidencialNão se aplicaNão se aplicaNão se aplica",Mercado_Receita!$N$2:$N$418)</f>
        <v>1389.433</v>
      </c>
      <c r="Q8" s="13">
        <f>SUMIF(Mercado_Receita!$T$2:$T$418,"44682B1Energia convencionalResidencialResidencialNão se aplicaNão se aplicaNão se aplica",Mercado_Receita!$N$2:$N$418)</f>
        <v>1257.963</v>
      </c>
      <c r="R8" s="13">
        <f>SUMIF(Mercado_Receita!$T$2:$T$418,"44713B1Energia convencionalResidencialResidencialNão se aplicaNão se aplicaNão se aplica",Mercado_Receita!$N$2:$N$418)</f>
        <v>1328.8030000000001</v>
      </c>
      <c r="S8" s="13">
        <f>SUMIF(Mercado_Receita!$T$2:$T$418,"44743B1Energia convencionalResidencialResidencialNão se aplicaNão se aplicaNão se aplica",Mercado_Receita!$N$2:$N$418)</f>
        <v>1165.0590000000002</v>
      </c>
      <c r="T8" s="13">
        <f>SUMIF(Mercado_Receita!$T$2:$T$418,"44774B1Energia convencionalResidencialResidencialNão se aplicaNão se aplicaNão se aplica",Mercado_Receita!$N$2:$N$418)</f>
        <v>1372.5350000000001</v>
      </c>
      <c r="U8" s="13">
        <f t="shared" si="0"/>
        <v>15958.987000000001</v>
      </c>
      <c r="V8" s="13"/>
      <c r="W8" s="13"/>
    </row>
    <row r="9" spans="1:30" ht="11.25" customHeight="1" x14ac:dyDescent="0.3">
      <c r="A9" s="77"/>
      <c r="B9" s="77"/>
      <c r="C9" s="77"/>
      <c r="D9" s="12" t="s">
        <v>29</v>
      </c>
      <c r="E9" s="12" t="s">
        <v>25</v>
      </c>
      <c r="F9" s="12" t="s">
        <v>25</v>
      </c>
      <c r="G9" s="13" t="s">
        <v>74</v>
      </c>
      <c r="H9" s="13" t="s">
        <v>70</v>
      </c>
      <c r="I9" s="13">
        <f>SUMIF(Mercado_Receita!$T$2:$T$418,"44440B1Energia convencionalResidencialResidencial baixa renda – faixa 01Não se aplicaNão se aplicaNão se aplica",Mercado_Receita!$N$2:$N$418)</f>
        <v>6.03</v>
      </c>
      <c r="J9" s="13">
        <f>SUMIF(Mercado_Receita!$T$2:$T$418,"44470B1Energia convencionalResidencialResidencial baixa renda – faixa 01Não se aplicaNão se aplicaNão se aplica",Mercado_Receita!$N$2:$N$418)</f>
        <v>6</v>
      </c>
      <c r="K9" s="13">
        <f>SUMIF(Mercado_Receita!$T$2:$T$418,"44501B1Energia convencionalResidencialResidencial baixa renda – faixa 01Não se aplicaNão se aplicaNão se aplica",Mercado_Receita!$N$2:$N$418)</f>
        <v>6.0550000000000006</v>
      </c>
      <c r="L9" s="13">
        <f>SUMIF(Mercado_Receita!$T$2:$T$418,"44531B1Energia convencionalResidencialResidencial baixa renda – faixa 01Não se aplicaNão se aplicaNão se aplica",Mercado_Receita!$N$2:$N$418)</f>
        <v>6.03</v>
      </c>
      <c r="M9" s="13">
        <f>SUMIF(Mercado_Receita!$T$2:$T$418,"44562B1Energia convencionalResidencialResidencial baixa renda – faixa 01Não se aplicaNão se aplicaNão se aplica",Mercado_Receita!$N$2:$N$418)</f>
        <v>5.97</v>
      </c>
      <c r="N9" s="13">
        <f>SUMIF(Mercado_Receita!$T$2:$T$418,"44593B1Energia convencionalResidencialResidencial baixa renda – faixa 01Não se aplicaNão se aplicaNão se aplica",Mercado_Receita!$N$2:$N$418)</f>
        <v>5.8050000000000006</v>
      </c>
      <c r="O9" s="13">
        <f>SUMIF(Mercado_Receita!$T$2:$T$418,"44621B1Energia convencionalResidencialResidencial baixa renda – faixa 01Não se aplicaNão se aplicaNão se aplica",Mercado_Receita!$N$2:$N$418)</f>
        <v>6.57</v>
      </c>
      <c r="P9" s="13">
        <f>SUMIF(Mercado_Receita!$T$2:$T$418,"44652B1Energia convencionalResidencialResidencial baixa renda – faixa 01Não se aplicaNão se aplicaNão se aplica",Mercado_Receita!$N$2:$N$418)</f>
        <v>11.123000000000001</v>
      </c>
      <c r="Q9" s="13">
        <f>SUMIF(Mercado_Receita!$T$2:$T$418,"44682B1Energia convencionalResidencialResidencial baixa renda – faixa 01Não se aplicaNão se aplicaNão se aplica",Mercado_Receita!$N$2:$N$418)</f>
        <v>8.5499999999999989</v>
      </c>
      <c r="R9" s="13">
        <f>SUMIF(Mercado_Receita!$T$2:$T$418,"44713B1Energia convencionalResidencialResidencial baixa renda – faixa 01Não se aplicaNão se aplicaNão se aplica",Mercado_Receita!$N$2:$N$418)</f>
        <v>8.6999999999999993</v>
      </c>
      <c r="S9" s="13">
        <f>SUMIF(Mercado_Receita!$T$2:$T$418,"44743B1Energia convencionalResidencialResidencial baixa renda – faixa 01Não se aplicaNão se aplicaNão se aplica",Mercado_Receita!$N$2:$N$418)</f>
        <v>8.5500000000000007</v>
      </c>
      <c r="T9" s="13">
        <f>SUMIF(Mercado_Receita!$T$2:$T$418,"44774B1Energia convencionalResidencialResidencial baixa renda – faixa 01Não se aplicaNão se aplicaNão se aplica",Mercado_Receita!$N$2:$N$418)</f>
        <v>6.75</v>
      </c>
      <c r="U9" s="13">
        <f t="shared" si="0"/>
        <v>86.132999999999996</v>
      </c>
      <c r="V9" s="13"/>
      <c r="W9" s="13"/>
    </row>
    <row r="10" spans="1:30" ht="11.25" customHeight="1" x14ac:dyDescent="0.3">
      <c r="A10" s="77"/>
      <c r="B10" s="77"/>
      <c r="C10" s="77"/>
      <c r="D10" s="12" t="s">
        <v>30</v>
      </c>
      <c r="E10" s="12" t="s">
        <v>25</v>
      </c>
      <c r="F10" s="12" t="s">
        <v>25</v>
      </c>
      <c r="G10" s="13" t="s">
        <v>74</v>
      </c>
      <c r="H10" s="13" t="s">
        <v>70</v>
      </c>
      <c r="I10" s="13">
        <f>SUMIF(Mercado_Receita!$T$2:$T$418,"44440B1Energia convencionalResidencialResidencial baixa renda – faixa 02Não se aplicaNão se aplicaNão se aplica",Mercado_Receita!$N$2:$N$418)</f>
        <v>12.154999999999999</v>
      </c>
      <c r="J10" s="13">
        <f>SUMIF(Mercado_Receita!$T$2:$T$418,"44470B1Energia convencionalResidencialResidencial baixa renda – faixa 02Não se aplicaNão se aplicaNão se aplica",Mercado_Receita!$N$2:$N$418)</f>
        <v>12.137</v>
      </c>
      <c r="K10" s="13">
        <f>SUMIF(Mercado_Receita!$T$2:$T$418,"44501B1Energia convencionalResidencialResidencial baixa renda – faixa 02Não se aplicaNão se aplicaNão se aplica",Mercado_Receita!$N$2:$N$418)</f>
        <v>12.046000000000001</v>
      </c>
      <c r="L10" s="13">
        <f>SUMIF(Mercado_Receita!$T$2:$T$418,"44531B1Energia convencionalResidencialResidencial baixa renda – faixa 02Não se aplicaNão se aplicaNão se aplica",Mercado_Receita!$N$2:$N$418)</f>
        <v>12.305999999999999</v>
      </c>
      <c r="M10" s="13">
        <f>SUMIF(Mercado_Receita!$T$2:$T$418,"44562B1Energia convencionalResidencialResidencial baixa renda – faixa 02Não se aplicaNão se aplicaNão se aplica",Mercado_Receita!$N$2:$N$418)</f>
        <v>12.425000000000001</v>
      </c>
      <c r="N10" s="13">
        <f>SUMIF(Mercado_Receita!$T$2:$T$418,"44593B1Energia convencionalResidencialResidencial baixa renda – faixa 02Não se aplicaNão se aplicaNão se aplica",Mercado_Receita!$N$2:$N$418)</f>
        <v>12.778</v>
      </c>
      <c r="O10" s="13">
        <f>SUMIF(Mercado_Receita!$T$2:$T$418,"44621B1Energia convencionalResidencialResidencial baixa renda – faixa 02Não se aplicaNão se aplicaNão se aplica",Mercado_Receita!$N$2:$N$418)</f>
        <v>13.773</v>
      </c>
      <c r="P10" s="13">
        <f>SUMIF(Mercado_Receita!$T$2:$T$418,"44652B1Energia convencionalResidencialResidencial baixa renda – faixa 02Não se aplicaNão se aplicaNão se aplica",Mercado_Receita!$N$2:$N$418)</f>
        <v>22.215</v>
      </c>
      <c r="Q10" s="13">
        <f>SUMIF(Mercado_Receita!$T$2:$T$418,"44682B1Energia convencionalResidencialResidencial baixa renda – faixa 02Não se aplicaNão se aplicaNão se aplica",Mercado_Receita!$N$2:$N$418)</f>
        <v>16.652000000000001</v>
      </c>
      <c r="R10" s="13">
        <f>SUMIF(Mercado_Receita!$T$2:$T$418,"44713B1Energia convencionalResidencialResidencial baixa renda – faixa 02Não se aplicaNão se aplicaNão se aplica",Mercado_Receita!$N$2:$N$418)</f>
        <v>16.468</v>
      </c>
      <c r="S10" s="13">
        <f>SUMIF(Mercado_Receita!$T$2:$T$418,"44743B1Energia convencionalResidencialResidencial baixa renda – faixa 02Não se aplicaNão se aplicaNão se aplica",Mercado_Receita!$N$2:$N$418)</f>
        <v>15.904</v>
      </c>
      <c r="T10" s="13">
        <f>SUMIF(Mercado_Receita!$T$2:$T$418,"44774B1Energia convencionalResidencialResidencial baixa renda – faixa 02Não se aplicaNão se aplicaNão se aplica",Mercado_Receita!$N$2:$N$418)</f>
        <v>13.456</v>
      </c>
      <c r="U10" s="13">
        <f t="shared" si="0"/>
        <v>172.315</v>
      </c>
      <c r="V10" s="13"/>
      <c r="W10" s="13"/>
    </row>
    <row r="11" spans="1:30" ht="11.25" customHeight="1" x14ac:dyDescent="0.3">
      <c r="A11" s="77"/>
      <c r="B11" s="77"/>
      <c r="C11" s="77"/>
      <c r="D11" s="12" t="s">
        <v>31</v>
      </c>
      <c r="E11" s="12" t="s">
        <v>25</v>
      </c>
      <c r="F11" s="12" t="s">
        <v>25</v>
      </c>
      <c r="G11" s="13" t="s">
        <v>74</v>
      </c>
      <c r="H11" s="13" t="s">
        <v>70</v>
      </c>
      <c r="I11" s="13">
        <f>SUMIF(Mercado_Receita!$T$2:$T$418,"44440B1Energia convencionalResidencialResidencial baixa renda – faixa 03Não se aplicaNão se aplicaNão se aplica",Mercado_Receita!$N$2:$N$418)</f>
        <v>11.212</v>
      </c>
      <c r="J11" s="13">
        <f>SUMIF(Mercado_Receita!$T$2:$T$418,"44470B1Energia convencionalResidencialResidencial baixa renda – faixa 03Não se aplicaNão se aplicaNão se aplica",Mercado_Receita!$N$2:$N$418)</f>
        <v>11.162000000000001</v>
      </c>
      <c r="K11" s="13">
        <f>SUMIF(Mercado_Receita!$T$2:$T$418,"44501B1Energia convencionalResidencialResidencial baixa renda – faixa 03Não se aplicaNão se aplicaNão se aplica",Mercado_Receita!$N$2:$N$418)</f>
        <v>10.295</v>
      </c>
      <c r="L11" s="13">
        <f>SUMIF(Mercado_Receita!$T$2:$T$418,"44531B1Energia convencionalResidencialResidencial baixa renda – faixa 03Não se aplicaNão se aplicaNão se aplica",Mercado_Receita!$N$2:$N$418)</f>
        <v>11.436999999999999</v>
      </c>
      <c r="M11" s="13">
        <f>SUMIF(Mercado_Receita!$T$2:$T$418,"44562B1Energia convencionalResidencialResidencial baixa renda – faixa 03Não se aplicaNão se aplicaNão se aplica",Mercado_Receita!$N$2:$N$418)</f>
        <v>13.813000000000001</v>
      </c>
      <c r="N11" s="13">
        <f>SUMIF(Mercado_Receita!$T$2:$T$418,"44593B1Energia convencionalResidencialResidencial baixa renda – faixa 03Não se aplicaNão se aplicaNão se aplica",Mercado_Receita!$N$2:$N$418)</f>
        <v>14.574</v>
      </c>
      <c r="O11" s="13">
        <f>SUMIF(Mercado_Receita!$T$2:$T$418,"44621B1Energia convencionalResidencialResidencial baixa renda – faixa 03Não se aplicaNão se aplicaNão se aplica",Mercado_Receita!$N$2:$N$418)</f>
        <v>15.63</v>
      </c>
      <c r="P11" s="13">
        <f>SUMIF(Mercado_Receita!$T$2:$T$418,"44652B1Energia convencionalResidencialResidencial baixa renda – faixa 03Não se aplicaNão se aplicaNão se aplica",Mercado_Receita!$N$2:$N$418)</f>
        <v>25.166</v>
      </c>
      <c r="Q11" s="13">
        <f>SUMIF(Mercado_Receita!$T$2:$T$418,"44682B1Energia convencionalResidencialResidencial baixa renda – faixa 03Não se aplicaNão se aplicaNão se aplica",Mercado_Receita!$N$2:$N$418)</f>
        <v>15.906000000000001</v>
      </c>
      <c r="R11" s="13">
        <f>SUMIF(Mercado_Receita!$T$2:$T$418,"44713B1Energia convencionalResidencialResidencial baixa renda – faixa 03Não se aplicaNão se aplicaNão se aplica",Mercado_Receita!$N$2:$N$418)</f>
        <v>17.007999999999999</v>
      </c>
      <c r="S11" s="13">
        <f>SUMIF(Mercado_Receita!$T$2:$T$418,"44743B1Energia convencionalResidencialResidencial baixa renda – faixa 03Não se aplicaNão se aplicaNão se aplica",Mercado_Receita!$N$2:$N$418)</f>
        <v>13.869</v>
      </c>
      <c r="T11" s="13">
        <f>SUMIF(Mercado_Receita!$T$2:$T$418,"44774B1Energia convencionalResidencialResidencial baixa renda – faixa 03Não se aplicaNão se aplicaNão se aplica",Mercado_Receita!$N$2:$N$418)</f>
        <v>14.058999999999999</v>
      </c>
      <c r="U11" s="13">
        <f t="shared" si="0"/>
        <v>174.131</v>
      </c>
      <c r="V11" s="13"/>
      <c r="W11" s="13"/>
    </row>
    <row r="12" spans="1:30" ht="11.25" customHeight="1" x14ac:dyDescent="0.3">
      <c r="A12" s="77"/>
      <c r="B12" s="77"/>
      <c r="C12" s="77"/>
      <c r="D12" s="12" t="s">
        <v>32</v>
      </c>
      <c r="E12" s="12" t="s">
        <v>25</v>
      </c>
      <c r="F12" s="12" t="s">
        <v>25</v>
      </c>
      <c r="G12" s="13" t="s">
        <v>74</v>
      </c>
      <c r="H12" s="13" t="s">
        <v>70</v>
      </c>
      <c r="I12" s="13">
        <f>SUMIF(Mercado_Receita!$T$2:$T$418,"44440B1Energia convencionalResidencialResidencial baixa renda – faixa 04Não se aplicaNão se aplicaNão se aplica",Mercado_Receita!$N$2:$N$418)</f>
        <v>2.7719999999999998</v>
      </c>
      <c r="J12" s="13">
        <f>SUMIF(Mercado_Receita!$T$2:$T$418,"44470B1Energia convencionalResidencialResidencial baixa renda – faixa 04Não se aplicaNão se aplicaNão se aplica",Mercado_Receita!$N$2:$N$418)</f>
        <v>2.9910000000000001</v>
      </c>
      <c r="K12" s="13">
        <f>SUMIF(Mercado_Receita!$T$2:$T$418,"44501B1Energia convencionalResidencialResidencial baixa renda – faixa 04Não se aplicaNão se aplicaNão se aplica",Mercado_Receita!$N$2:$N$418)</f>
        <v>2.5819999999999999</v>
      </c>
      <c r="L12" s="13">
        <f>SUMIF(Mercado_Receita!$T$2:$T$418,"44531B1Energia convencionalResidencialResidencial baixa renda – faixa 04Não se aplicaNão se aplicaNão se aplica",Mercado_Receita!$N$2:$N$418)</f>
        <v>2.5059999999999998</v>
      </c>
      <c r="M12" s="13">
        <f>SUMIF(Mercado_Receita!$T$2:$T$418,"44562B1Energia convencionalResidencialResidencial baixa renda – faixa 04Não se aplicaNão se aplicaNão se aplica",Mercado_Receita!$N$2:$N$418)</f>
        <v>5.2519999999999998</v>
      </c>
      <c r="N12" s="13">
        <f>SUMIF(Mercado_Receita!$T$2:$T$418,"44593B1Energia convencionalResidencialResidencial baixa renda – faixa 04Não se aplicaNão se aplicaNão se aplica",Mercado_Receita!$N$2:$N$418)</f>
        <v>7.7409999999999997</v>
      </c>
      <c r="O12" s="13">
        <f>SUMIF(Mercado_Receita!$T$2:$T$418,"44621B1Energia convencionalResidencialResidencial baixa renda – faixa 04Não se aplicaNão se aplicaNão se aplica",Mercado_Receita!$N$2:$N$418)</f>
        <v>8.2520000000000007</v>
      </c>
      <c r="P12" s="13">
        <f>SUMIF(Mercado_Receita!$T$2:$T$418,"44652B1Energia convencionalResidencialResidencial baixa renda – faixa 04Não se aplicaNão se aplicaNão se aplica",Mercado_Receita!$N$2:$N$418)</f>
        <v>11.680999999999999</v>
      </c>
      <c r="Q12" s="13">
        <f>SUMIF(Mercado_Receita!$T$2:$T$418,"44682B1Energia convencionalResidencialResidencial baixa renda – faixa 04Não se aplicaNão se aplicaNão se aplica",Mercado_Receita!$N$2:$N$418)</f>
        <v>7.53</v>
      </c>
      <c r="R12" s="13">
        <f>SUMIF(Mercado_Receita!$T$2:$T$418,"44713B1Energia convencionalResidencialResidencial baixa renda – faixa 04Não se aplicaNão se aplicaNão se aplica",Mercado_Receita!$N$2:$N$418)</f>
        <v>8.8190000000000008</v>
      </c>
      <c r="S12" s="13">
        <f>SUMIF(Mercado_Receita!$T$2:$T$418,"44743B1Energia convencionalResidencialResidencial baixa renda – faixa 04Não se aplicaNão se aplicaNão se aplica",Mercado_Receita!$N$2:$N$418)</f>
        <v>5.0469999999999997</v>
      </c>
      <c r="T12" s="13">
        <f>SUMIF(Mercado_Receita!$T$2:$T$418,"44774B1Energia convencionalResidencialResidencial baixa renda – faixa 04Não se aplicaNão se aplicaNão se aplica",Mercado_Receita!$N$2:$N$418)</f>
        <v>6.5069999999999997</v>
      </c>
      <c r="U12" s="13">
        <f t="shared" si="0"/>
        <v>71.680000000000007</v>
      </c>
      <c r="V12" s="13"/>
      <c r="W12" s="13"/>
    </row>
    <row r="13" spans="1:30" ht="11.25" customHeight="1" x14ac:dyDescent="0.3">
      <c r="A13" s="77"/>
      <c r="B13" s="76" t="s">
        <v>84</v>
      </c>
      <c r="C13" s="76" t="s">
        <v>24</v>
      </c>
      <c r="D13" s="12" t="s">
        <v>24</v>
      </c>
      <c r="E13" s="12" t="s">
        <v>25</v>
      </c>
      <c r="F13" s="12" t="s">
        <v>25</v>
      </c>
      <c r="G13" s="13" t="s">
        <v>74</v>
      </c>
      <c r="H13" s="13" t="s">
        <v>70</v>
      </c>
      <c r="I13" s="13">
        <f>SUMIF(Mercado_Receita!$T$2:$T$418,"44440B1Energia convencional pré-pagamentoResidencialResidencialNão se aplicaNão se aplicaNão se aplica",Mercado_Receita!$N$2:$N$418)</f>
        <v>0</v>
      </c>
      <c r="J13" s="13">
        <f>SUMIF(Mercado_Receita!$T$2:$T$418,"44470B1Energia convencional pré-pagamentoResidencialResidencialNão se aplicaNão se aplicaNão se aplica",Mercado_Receita!$N$2:$N$418)</f>
        <v>0</v>
      </c>
      <c r="K13" s="13">
        <f>SUMIF(Mercado_Receita!$T$2:$T$418,"44501B1Energia convencional pré-pagamentoResidencialResidencialNão se aplicaNão se aplicaNão se aplica",Mercado_Receita!$N$2:$N$418)</f>
        <v>0</v>
      </c>
      <c r="L13" s="13">
        <f>SUMIF(Mercado_Receita!$T$2:$T$418,"44531B1Energia convencional pré-pagamentoResidencialResidencialNão se aplicaNão se aplicaNão se aplica",Mercado_Receita!$N$2:$N$418)</f>
        <v>0</v>
      </c>
      <c r="M13" s="13">
        <f>SUMIF(Mercado_Receita!$T$2:$T$418,"44562B1Energia convencional pré-pagamentoResidencialResidencialNão se aplicaNão se aplicaNão se aplica",Mercado_Receita!$N$2:$N$418)</f>
        <v>0</v>
      </c>
      <c r="N13" s="13">
        <f>SUMIF(Mercado_Receita!$T$2:$T$418,"44593B1Energia convencional pré-pagamentoResidencialResidencialNão se aplicaNão se aplicaNão se aplica",Mercado_Receita!$N$2:$N$418)</f>
        <v>0</v>
      </c>
      <c r="O13" s="13">
        <f>SUMIF(Mercado_Receita!$T$2:$T$418,"44621B1Energia convencional pré-pagamentoResidencialResidencialNão se aplicaNão se aplicaNão se aplica",Mercado_Receita!$N$2:$N$418)</f>
        <v>0</v>
      </c>
      <c r="P13" s="13">
        <f>SUMIF(Mercado_Receita!$T$2:$T$418,"44652B1Energia convencional pré-pagamentoResidencialResidencialNão se aplicaNão se aplicaNão se aplica",Mercado_Receita!$N$2:$N$418)</f>
        <v>0</v>
      </c>
      <c r="Q13" s="13">
        <f>SUMIF(Mercado_Receita!$T$2:$T$418,"44682B1Energia convencional pré-pagamentoResidencialResidencialNão se aplicaNão se aplicaNão se aplica",Mercado_Receita!$N$2:$N$418)</f>
        <v>0</v>
      </c>
      <c r="R13" s="13">
        <f>SUMIF(Mercado_Receita!$T$2:$T$418,"44713B1Energia convencional pré-pagamentoResidencialResidencialNão se aplicaNão se aplicaNão se aplica",Mercado_Receita!$N$2:$N$418)</f>
        <v>0</v>
      </c>
      <c r="S13" s="13">
        <f>SUMIF(Mercado_Receita!$T$2:$T$418,"44743B1Energia convencional pré-pagamentoResidencialResidencialNão se aplicaNão se aplicaNão se aplica",Mercado_Receita!$N$2:$N$418)</f>
        <v>0</v>
      </c>
      <c r="T13" s="13">
        <f>SUMIF(Mercado_Receita!$T$2:$T$418,"44774B1Energia convencional pré-pagamentoResidencialResidencialNão se aplicaNão se aplicaNão se aplica",Mercado_Receita!$N$2:$N$418)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77"/>
      <c r="B14" s="77"/>
      <c r="C14" s="77"/>
      <c r="D14" s="12" t="s">
        <v>29</v>
      </c>
      <c r="E14" s="12" t="s">
        <v>25</v>
      </c>
      <c r="F14" s="12" t="s">
        <v>25</v>
      </c>
      <c r="G14" s="13" t="s">
        <v>74</v>
      </c>
      <c r="H14" s="13" t="s">
        <v>70</v>
      </c>
      <c r="I14" s="13">
        <f>SUMIF(Mercado_Receita!$T$2:$T$418,"44440B1Energia convencional pré-pagamentoResidencialResidencial baixa renda – faixa 01Não se aplicaNão se aplicaNão se aplica",Mercado_Receita!$N$2:$N$418)</f>
        <v>0</v>
      </c>
      <c r="J14" s="13">
        <f>SUMIF(Mercado_Receita!$T$2:$T$418,"44470B1Energia convencional pré-pagamentoResidencialResidencial baixa renda – faixa 01Não se aplicaNão se aplicaNão se aplica",Mercado_Receita!$N$2:$N$418)</f>
        <v>0</v>
      </c>
      <c r="K14" s="13">
        <f>SUMIF(Mercado_Receita!$T$2:$T$418,"44501B1Energia convencional pré-pagamentoResidencialResidencial baixa renda – faixa 01Não se aplicaNão se aplicaNão se aplica",Mercado_Receita!$N$2:$N$418)</f>
        <v>0</v>
      </c>
      <c r="L14" s="13">
        <f>SUMIF(Mercado_Receita!$T$2:$T$418,"44531B1Energia convencional pré-pagamentoResidencialResidencial baixa renda – faixa 01Não se aplicaNão se aplicaNão se aplica",Mercado_Receita!$N$2:$N$418)</f>
        <v>0</v>
      </c>
      <c r="M14" s="13">
        <f>SUMIF(Mercado_Receita!$T$2:$T$418,"44562B1Energia convencional pré-pagamentoResidencialResidencial baixa renda – faixa 01Não se aplicaNão se aplicaNão se aplica",Mercado_Receita!$N$2:$N$418)</f>
        <v>0</v>
      </c>
      <c r="N14" s="13">
        <f>SUMIF(Mercado_Receita!$T$2:$T$418,"44593B1Energia convencional pré-pagamentoResidencialResidencial baixa renda – faixa 01Não se aplicaNão se aplicaNão se aplica",Mercado_Receita!$N$2:$N$418)</f>
        <v>0</v>
      </c>
      <c r="O14" s="13">
        <f>SUMIF(Mercado_Receita!$T$2:$T$418,"44621B1Energia convencional pré-pagamentoResidencialResidencial baixa renda – faixa 01Não se aplicaNão se aplicaNão se aplica",Mercado_Receita!$N$2:$N$418)</f>
        <v>0</v>
      </c>
      <c r="P14" s="13">
        <f>SUMIF(Mercado_Receita!$T$2:$T$418,"44652B1Energia convencional pré-pagamentoResidencialResidencial baixa renda – faixa 01Não se aplicaNão se aplicaNão se aplica",Mercado_Receita!$N$2:$N$418)</f>
        <v>0</v>
      </c>
      <c r="Q14" s="13">
        <f>SUMIF(Mercado_Receita!$T$2:$T$418,"44682B1Energia convencional pré-pagamentoResidencialResidencial baixa renda – faixa 01Não se aplicaNão se aplicaNão se aplica",Mercado_Receita!$N$2:$N$418)</f>
        <v>0</v>
      </c>
      <c r="R14" s="13">
        <f>SUMIF(Mercado_Receita!$T$2:$T$418,"44713B1Energia convencional pré-pagamentoResidencialResidencial baixa renda – faixa 01Não se aplicaNão se aplicaNão se aplica",Mercado_Receita!$N$2:$N$418)</f>
        <v>0</v>
      </c>
      <c r="S14" s="13">
        <f>SUMIF(Mercado_Receita!$T$2:$T$418,"44743B1Energia convencional pré-pagamentoResidencialResidencial baixa renda – faixa 01Não se aplicaNão se aplicaNão se aplica",Mercado_Receita!$N$2:$N$418)</f>
        <v>0</v>
      </c>
      <c r="T14" s="13">
        <f>SUMIF(Mercado_Receita!$T$2:$T$418,"44774B1Energia convencional pré-pagamentoResidencialResidencial baixa renda – faixa 01Não se aplicaNão se aplicaNão se aplica",Mercado_Receita!$N$2:$N$418)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77"/>
      <c r="B15" s="77"/>
      <c r="C15" s="77"/>
      <c r="D15" s="12" t="s">
        <v>30</v>
      </c>
      <c r="E15" s="12" t="s">
        <v>25</v>
      </c>
      <c r="F15" s="12" t="s">
        <v>25</v>
      </c>
      <c r="G15" s="13" t="s">
        <v>74</v>
      </c>
      <c r="H15" s="13" t="s">
        <v>70</v>
      </c>
      <c r="I15" s="13">
        <f>SUMIF(Mercado_Receita!$T$2:$T$418,"44440B1Energia convencional pré-pagamentoResidencialResidencial baixa renda – faixa 02Não se aplicaNão se aplicaNão se aplica",Mercado_Receita!$N$2:$N$418)</f>
        <v>0</v>
      </c>
      <c r="J15" s="13">
        <f>SUMIF(Mercado_Receita!$T$2:$T$418,"44470B1Energia convencional pré-pagamentoResidencialResidencial baixa renda – faixa 02Não se aplicaNão se aplicaNão se aplica",Mercado_Receita!$N$2:$N$418)</f>
        <v>0</v>
      </c>
      <c r="K15" s="13">
        <f>SUMIF(Mercado_Receita!$T$2:$T$418,"44501B1Energia convencional pré-pagamentoResidencialResidencial baixa renda – faixa 02Não se aplicaNão se aplicaNão se aplica",Mercado_Receita!$N$2:$N$418)</f>
        <v>0</v>
      </c>
      <c r="L15" s="13">
        <f>SUMIF(Mercado_Receita!$T$2:$T$418,"44531B1Energia convencional pré-pagamentoResidencialResidencial baixa renda – faixa 02Não se aplicaNão se aplicaNão se aplica",Mercado_Receita!$N$2:$N$418)</f>
        <v>0</v>
      </c>
      <c r="M15" s="13">
        <f>SUMIF(Mercado_Receita!$T$2:$T$418,"44562B1Energia convencional pré-pagamentoResidencialResidencial baixa renda – faixa 02Não se aplicaNão se aplicaNão se aplica",Mercado_Receita!$N$2:$N$418)</f>
        <v>0</v>
      </c>
      <c r="N15" s="13">
        <f>SUMIF(Mercado_Receita!$T$2:$T$418,"44593B1Energia convencional pré-pagamentoResidencialResidencial baixa renda – faixa 02Não se aplicaNão se aplicaNão se aplica",Mercado_Receita!$N$2:$N$418)</f>
        <v>0</v>
      </c>
      <c r="O15" s="13">
        <f>SUMIF(Mercado_Receita!$T$2:$T$418,"44621B1Energia convencional pré-pagamentoResidencialResidencial baixa renda – faixa 02Não se aplicaNão se aplicaNão se aplica",Mercado_Receita!$N$2:$N$418)</f>
        <v>0</v>
      </c>
      <c r="P15" s="13">
        <f>SUMIF(Mercado_Receita!$T$2:$T$418,"44652B1Energia convencional pré-pagamentoResidencialResidencial baixa renda – faixa 02Não se aplicaNão se aplicaNão se aplica",Mercado_Receita!$N$2:$N$418)</f>
        <v>0</v>
      </c>
      <c r="Q15" s="13">
        <f>SUMIF(Mercado_Receita!$T$2:$T$418,"44682B1Energia convencional pré-pagamentoResidencialResidencial baixa renda – faixa 02Não se aplicaNão se aplicaNão se aplica",Mercado_Receita!$N$2:$N$418)</f>
        <v>0</v>
      </c>
      <c r="R15" s="13">
        <f>SUMIF(Mercado_Receita!$T$2:$T$418,"44713B1Energia convencional pré-pagamentoResidencialResidencial baixa renda – faixa 02Não se aplicaNão se aplicaNão se aplica",Mercado_Receita!$N$2:$N$418)</f>
        <v>0</v>
      </c>
      <c r="S15" s="13">
        <f>SUMIF(Mercado_Receita!$T$2:$T$418,"44743B1Energia convencional pré-pagamentoResidencialResidencial baixa renda – faixa 02Não se aplicaNão se aplicaNão se aplica",Mercado_Receita!$N$2:$N$418)</f>
        <v>0</v>
      </c>
      <c r="T15" s="13">
        <f>SUMIF(Mercado_Receita!$T$2:$T$418,"44774B1Energia convencional pré-pagamentoResidencialResidencial baixa renda – faixa 02Não se aplicaNão se aplicaNão se aplica",Mercado_Receita!$N$2:$N$418)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77"/>
      <c r="B16" s="77"/>
      <c r="C16" s="77"/>
      <c r="D16" s="12" t="s">
        <v>31</v>
      </c>
      <c r="E16" s="12" t="s">
        <v>25</v>
      </c>
      <c r="F16" s="12" t="s">
        <v>25</v>
      </c>
      <c r="G16" s="13" t="s">
        <v>74</v>
      </c>
      <c r="H16" s="13" t="s">
        <v>70</v>
      </c>
      <c r="I16" s="13">
        <f>SUMIF(Mercado_Receita!$T$2:$T$418,"44440B1Energia convencional pré-pagamentoResidencialResidencial baixa renda – faixa 03Não se aplicaNão se aplicaNão se aplica",Mercado_Receita!$N$2:$N$418)</f>
        <v>0</v>
      </c>
      <c r="J16" s="13">
        <f>SUMIF(Mercado_Receita!$T$2:$T$418,"44470B1Energia convencional pré-pagamentoResidencialResidencial baixa renda – faixa 03Não se aplicaNão se aplicaNão se aplica",Mercado_Receita!$N$2:$N$418)</f>
        <v>0</v>
      </c>
      <c r="K16" s="13">
        <f>SUMIF(Mercado_Receita!$T$2:$T$418,"44501B1Energia convencional pré-pagamentoResidencialResidencial baixa renda – faixa 03Não se aplicaNão se aplicaNão se aplica",Mercado_Receita!$N$2:$N$418)</f>
        <v>0</v>
      </c>
      <c r="L16" s="13">
        <f>SUMIF(Mercado_Receita!$T$2:$T$418,"44531B1Energia convencional pré-pagamentoResidencialResidencial baixa renda – faixa 03Não se aplicaNão se aplicaNão se aplica",Mercado_Receita!$N$2:$N$418)</f>
        <v>0</v>
      </c>
      <c r="M16" s="13">
        <f>SUMIF(Mercado_Receita!$T$2:$T$418,"44562B1Energia convencional pré-pagamentoResidencialResidencial baixa renda – faixa 03Não se aplicaNão se aplicaNão se aplica",Mercado_Receita!$N$2:$N$418)</f>
        <v>0</v>
      </c>
      <c r="N16" s="13">
        <f>SUMIF(Mercado_Receita!$T$2:$T$418,"44593B1Energia convencional pré-pagamentoResidencialResidencial baixa renda – faixa 03Não se aplicaNão se aplicaNão se aplica",Mercado_Receita!$N$2:$N$418)</f>
        <v>0</v>
      </c>
      <c r="O16" s="13">
        <f>SUMIF(Mercado_Receita!$T$2:$T$418,"44621B1Energia convencional pré-pagamentoResidencialResidencial baixa renda – faixa 03Não se aplicaNão se aplicaNão se aplica",Mercado_Receita!$N$2:$N$418)</f>
        <v>0</v>
      </c>
      <c r="P16" s="13">
        <f>SUMIF(Mercado_Receita!$T$2:$T$418,"44652B1Energia convencional pré-pagamentoResidencialResidencial baixa renda – faixa 03Não se aplicaNão se aplicaNão se aplica",Mercado_Receita!$N$2:$N$418)</f>
        <v>0</v>
      </c>
      <c r="Q16" s="13">
        <f>SUMIF(Mercado_Receita!$T$2:$T$418,"44682B1Energia convencional pré-pagamentoResidencialResidencial baixa renda – faixa 03Não se aplicaNão se aplicaNão se aplica",Mercado_Receita!$N$2:$N$418)</f>
        <v>0</v>
      </c>
      <c r="R16" s="13">
        <f>SUMIF(Mercado_Receita!$T$2:$T$418,"44713B1Energia convencional pré-pagamentoResidencialResidencial baixa renda – faixa 03Não se aplicaNão se aplicaNão se aplica",Mercado_Receita!$N$2:$N$418)</f>
        <v>0</v>
      </c>
      <c r="S16" s="13">
        <f>SUMIF(Mercado_Receita!$T$2:$T$418,"44743B1Energia convencional pré-pagamentoResidencialResidencial baixa renda – faixa 03Não se aplicaNão se aplicaNão se aplica",Mercado_Receita!$N$2:$N$418)</f>
        <v>0</v>
      </c>
      <c r="T16" s="13">
        <f>SUMIF(Mercado_Receita!$T$2:$T$418,"44774B1Energia convencional pré-pagamentoResidencialResidencial baixa renda – faixa 03Não se aplicaNão se aplicaNão se aplica",Mercado_Receita!$N$2:$N$418)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77"/>
      <c r="B17" s="77"/>
      <c r="C17" s="77"/>
      <c r="D17" s="12" t="s">
        <v>32</v>
      </c>
      <c r="E17" s="12" t="s">
        <v>25</v>
      </c>
      <c r="F17" s="12" t="s">
        <v>25</v>
      </c>
      <c r="G17" s="13" t="s">
        <v>74</v>
      </c>
      <c r="H17" s="13" t="s">
        <v>70</v>
      </c>
      <c r="I17" s="13">
        <f>SUMIF(Mercado_Receita!$T$2:$T$418,"44440B1Energia convencional pré-pagamentoResidencialResidencial baixa renda – faixa 04Não se aplicaNão se aplicaNão se aplica",Mercado_Receita!$N$2:$N$418)</f>
        <v>0</v>
      </c>
      <c r="J17" s="13">
        <f>SUMIF(Mercado_Receita!$T$2:$T$418,"44470B1Energia convencional pré-pagamentoResidencialResidencial baixa renda – faixa 04Não se aplicaNão se aplicaNão se aplica",Mercado_Receita!$N$2:$N$418)</f>
        <v>0</v>
      </c>
      <c r="K17" s="13">
        <f>SUMIF(Mercado_Receita!$T$2:$T$418,"44501B1Energia convencional pré-pagamentoResidencialResidencial baixa renda – faixa 04Não se aplicaNão se aplicaNão se aplica",Mercado_Receita!$N$2:$N$418)</f>
        <v>0</v>
      </c>
      <c r="L17" s="13">
        <f>SUMIF(Mercado_Receita!$T$2:$T$418,"44531B1Energia convencional pré-pagamentoResidencialResidencial baixa renda – faixa 04Não se aplicaNão se aplicaNão se aplica",Mercado_Receita!$N$2:$N$418)</f>
        <v>0</v>
      </c>
      <c r="M17" s="13">
        <f>SUMIF(Mercado_Receita!$T$2:$T$418,"44562B1Energia convencional pré-pagamentoResidencialResidencial baixa renda – faixa 04Não se aplicaNão se aplicaNão se aplica",Mercado_Receita!$N$2:$N$418)</f>
        <v>0</v>
      </c>
      <c r="N17" s="13">
        <f>SUMIF(Mercado_Receita!$T$2:$T$418,"44593B1Energia convencional pré-pagamentoResidencialResidencial baixa renda – faixa 04Não se aplicaNão se aplicaNão se aplica",Mercado_Receita!$N$2:$N$418)</f>
        <v>0</v>
      </c>
      <c r="O17" s="13">
        <f>SUMIF(Mercado_Receita!$T$2:$T$418,"44621B1Energia convencional pré-pagamentoResidencialResidencial baixa renda – faixa 04Não se aplicaNão se aplicaNão se aplica",Mercado_Receita!$N$2:$N$418)</f>
        <v>0</v>
      </c>
      <c r="P17" s="13">
        <f>SUMIF(Mercado_Receita!$T$2:$T$418,"44652B1Energia convencional pré-pagamentoResidencialResidencial baixa renda – faixa 04Não se aplicaNão se aplicaNão se aplica",Mercado_Receita!$N$2:$N$418)</f>
        <v>0</v>
      </c>
      <c r="Q17" s="13">
        <f>SUMIF(Mercado_Receita!$T$2:$T$418,"44682B1Energia convencional pré-pagamentoResidencialResidencial baixa renda – faixa 04Não se aplicaNão se aplicaNão se aplica",Mercado_Receita!$N$2:$N$418)</f>
        <v>0</v>
      </c>
      <c r="R17" s="13">
        <f>SUMIF(Mercado_Receita!$T$2:$T$418,"44713B1Energia convencional pré-pagamentoResidencialResidencial baixa renda – faixa 04Não se aplicaNão se aplicaNão se aplica",Mercado_Receita!$N$2:$N$418)</f>
        <v>0</v>
      </c>
      <c r="S17" s="13">
        <f>SUMIF(Mercado_Receita!$T$2:$T$418,"44743B1Energia convencional pré-pagamentoResidencialResidencial baixa renda – faixa 04Não se aplicaNão se aplicaNão se aplica",Mercado_Receita!$N$2:$N$418)</f>
        <v>0</v>
      </c>
      <c r="T17" s="13">
        <f>SUMIF(Mercado_Receita!$T$2:$T$418,"44774B1Energia convencional pré-pagamentoResidencialResidencial baixa renda – faixa 04Não se aplicaNão se aplicaNão se aplica",Mercado_Receita!$N$2:$N$418)</f>
        <v>0</v>
      </c>
      <c r="U17" s="13">
        <f t="shared" si="0"/>
        <v>0</v>
      </c>
      <c r="V17" s="13"/>
      <c r="W17" s="13"/>
    </row>
    <row r="18" spans="1:23" ht="11.25" customHeight="1" x14ac:dyDescent="0.3">
      <c r="A18" s="76" t="s">
        <v>43</v>
      </c>
      <c r="B18" s="76" t="s">
        <v>69</v>
      </c>
      <c r="C18" s="76" t="s">
        <v>44</v>
      </c>
      <c r="D18" s="76" t="s">
        <v>25</v>
      </c>
      <c r="E18" s="76" t="s">
        <v>25</v>
      </c>
      <c r="F18" s="76" t="s">
        <v>25</v>
      </c>
      <c r="G18" s="13" t="s">
        <v>71</v>
      </c>
      <c r="H18" s="13" t="s">
        <v>70</v>
      </c>
      <c r="I18" s="13">
        <f>SUMIF(Mercado_Receita!$T$2:$T$418,"44440B2Energia horáriaRuralNão se aplicaNão se aplicaNão se aplicaPonta",Mercado_Receita!$N$2:$N$418)</f>
        <v>0</v>
      </c>
      <c r="J18" s="13">
        <f>SUMIF(Mercado_Receita!$T$2:$T$418,"44470B2Energia horáriaRuralNão se aplicaNão se aplicaNão se aplicaPonta",Mercado_Receita!$N$2:$N$418)</f>
        <v>0</v>
      </c>
      <c r="K18" s="13">
        <f>SUMIF(Mercado_Receita!$T$2:$T$418,"44501B2Energia horáriaRuralNão se aplicaNão se aplicaNão se aplicaPonta",Mercado_Receita!$N$2:$N$418)</f>
        <v>0</v>
      </c>
      <c r="L18" s="13">
        <f>SUMIF(Mercado_Receita!$T$2:$T$418,"44531B2Energia horáriaRuralNão se aplicaNão se aplicaNão se aplicaPonta",Mercado_Receita!$N$2:$N$418)</f>
        <v>0</v>
      </c>
      <c r="M18" s="13">
        <f>SUMIF(Mercado_Receita!$T$2:$T$418,"44562B2Energia horáriaRuralNão se aplicaNão se aplicaNão se aplicaPonta",Mercado_Receita!$N$2:$N$418)</f>
        <v>0</v>
      </c>
      <c r="N18" s="13">
        <f>SUMIF(Mercado_Receita!$T$2:$T$418,"44593B2Energia horáriaRuralNão se aplicaNão se aplicaNão se aplicaPonta",Mercado_Receita!$N$2:$N$418)</f>
        <v>0</v>
      </c>
      <c r="O18" s="13">
        <f>SUMIF(Mercado_Receita!$T$2:$T$418,"44621B2Energia horáriaRuralNão se aplicaNão se aplicaNão se aplicaPonta",Mercado_Receita!$N$2:$N$418)</f>
        <v>0</v>
      </c>
      <c r="P18" s="13">
        <f>SUMIF(Mercado_Receita!$T$2:$T$418,"44652B2Energia horáriaRuralNão se aplicaNão se aplicaNão se aplicaPonta",Mercado_Receita!$N$2:$N$418)</f>
        <v>0</v>
      </c>
      <c r="Q18" s="13">
        <f>SUMIF(Mercado_Receita!$T$2:$T$418,"44682B2Energia horáriaRuralNão se aplicaNão se aplicaNão se aplicaPonta",Mercado_Receita!$N$2:$N$418)</f>
        <v>0</v>
      </c>
      <c r="R18" s="13">
        <f>SUMIF(Mercado_Receita!$T$2:$T$418,"44713B2Energia horáriaRuralNão se aplicaNão se aplicaNão se aplicaPonta",Mercado_Receita!$N$2:$N$418)</f>
        <v>0</v>
      </c>
      <c r="S18" s="13">
        <f>SUMIF(Mercado_Receita!$T$2:$T$418,"44743B2Energia horáriaRuralNão se aplicaNão se aplicaNão se aplicaPonta",Mercado_Receita!$N$2:$N$418)</f>
        <v>0</v>
      </c>
      <c r="T18" s="13">
        <f>SUMIF(Mercado_Receita!$T$2:$T$418,"44774B2Energia horáriaRuralNão se aplicaNão se aplicaNão se aplicaPonta",Mercado_Receita!$N$2:$N$418)</f>
        <v>0</v>
      </c>
      <c r="U18" s="13">
        <f t="shared" si="0"/>
        <v>0</v>
      </c>
      <c r="V18" s="13"/>
      <c r="W18" s="13"/>
    </row>
    <row r="19" spans="1:23" ht="11.25" customHeight="1" x14ac:dyDescent="0.3">
      <c r="A19" s="77"/>
      <c r="B19" s="77"/>
      <c r="C19" s="77"/>
      <c r="D19" s="77"/>
      <c r="E19" s="77"/>
      <c r="F19" s="77"/>
      <c r="G19" s="13" t="s">
        <v>83</v>
      </c>
      <c r="H19" s="13" t="s">
        <v>70</v>
      </c>
      <c r="I19" s="13">
        <f>SUMIF(Mercado_Receita!$T$2:$T$418,"44440B2Energia horáriaRuralNão se aplicaNão se aplicaNão se aplicaIntermediário",Mercado_Receita!$N$2:$N$418)</f>
        <v>0</v>
      </c>
      <c r="J19" s="13">
        <f>SUMIF(Mercado_Receita!$T$2:$T$418,"44470B2Energia horáriaRuralNão se aplicaNão se aplicaNão se aplicaIntermediário",Mercado_Receita!$N$2:$N$418)</f>
        <v>0</v>
      </c>
      <c r="K19" s="13">
        <f>SUMIF(Mercado_Receita!$T$2:$T$418,"44501B2Energia horáriaRuralNão se aplicaNão se aplicaNão se aplicaIntermediário",Mercado_Receita!$N$2:$N$418)</f>
        <v>0</v>
      </c>
      <c r="L19" s="13">
        <f>SUMIF(Mercado_Receita!$T$2:$T$418,"44531B2Energia horáriaRuralNão se aplicaNão se aplicaNão se aplicaIntermediário",Mercado_Receita!$N$2:$N$418)</f>
        <v>0</v>
      </c>
      <c r="M19" s="13">
        <f>SUMIF(Mercado_Receita!$T$2:$T$418,"44562B2Energia horáriaRuralNão se aplicaNão se aplicaNão se aplicaIntermediário",Mercado_Receita!$N$2:$N$418)</f>
        <v>0</v>
      </c>
      <c r="N19" s="13">
        <f>SUMIF(Mercado_Receita!$T$2:$T$418,"44593B2Energia horáriaRuralNão se aplicaNão se aplicaNão se aplicaIntermediário",Mercado_Receita!$N$2:$N$418)</f>
        <v>0</v>
      </c>
      <c r="O19" s="13">
        <f>SUMIF(Mercado_Receita!$T$2:$T$418,"44621B2Energia horáriaRuralNão se aplicaNão se aplicaNão se aplicaIntermediário",Mercado_Receita!$N$2:$N$418)</f>
        <v>0</v>
      </c>
      <c r="P19" s="13">
        <f>SUMIF(Mercado_Receita!$T$2:$T$418,"44652B2Energia horáriaRuralNão se aplicaNão se aplicaNão se aplicaIntermediário",Mercado_Receita!$N$2:$N$418)</f>
        <v>0</v>
      </c>
      <c r="Q19" s="13">
        <f>SUMIF(Mercado_Receita!$T$2:$T$418,"44682B2Energia horáriaRuralNão se aplicaNão se aplicaNão se aplicaIntermediário",Mercado_Receita!$N$2:$N$418)</f>
        <v>0</v>
      </c>
      <c r="R19" s="13">
        <f>SUMIF(Mercado_Receita!$T$2:$T$418,"44713B2Energia horáriaRuralNão se aplicaNão se aplicaNão se aplicaIntermediário",Mercado_Receita!$N$2:$N$418)</f>
        <v>0</v>
      </c>
      <c r="S19" s="13">
        <f>SUMIF(Mercado_Receita!$T$2:$T$418,"44743B2Energia horáriaRuralNão se aplicaNão se aplicaNão se aplicaIntermediário",Mercado_Receita!$N$2:$N$418)</f>
        <v>0</v>
      </c>
      <c r="T19" s="13">
        <f>SUMIF(Mercado_Receita!$T$2:$T$418,"44774B2Energia horáriaRuralNão se aplicaNão se aplicaNão se aplicaIntermediário",Mercado_Receita!$N$2:$N$418)</f>
        <v>0</v>
      </c>
      <c r="U19" s="13">
        <f t="shared" si="0"/>
        <v>0</v>
      </c>
      <c r="V19" s="13"/>
      <c r="W19" s="13"/>
    </row>
    <row r="20" spans="1:23" ht="11.25" customHeight="1" x14ac:dyDescent="0.3">
      <c r="A20" s="77"/>
      <c r="B20" s="77"/>
      <c r="C20" s="77"/>
      <c r="D20" s="77"/>
      <c r="E20" s="77"/>
      <c r="F20" s="77"/>
      <c r="G20" s="13" t="s">
        <v>72</v>
      </c>
      <c r="H20" s="13" t="s">
        <v>70</v>
      </c>
      <c r="I20" s="13">
        <f>SUMIF(Mercado_Receita!$T$2:$T$418,"44440B2Energia horáriaRuralNão se aplicaNão se aplicaNão se aplicaFora ponta",Mercado_Receita!$N$2:$N$418)</f>
        <v>0</v>
      </c>
      <c r="J20" s="13">
        <f>SUMIF(Mercado_Receita!$T$2:$T$418,"44470B2Energia horáriaRuralNão se aplicaNão se aplicaNão se aplicaFora ponta",Mercado_Receita!$N$2:$N$418)</f>
        <v>0</v>
      </c>
      <c r="K20" s="13">
        <f>SUMIF(Mercado_Receita!$T$2:$T$418,"44501B2Energia horáriaRuralNão se aplicaNão se aplicaNão se aplicaFora ponta",Mercado_Receita!$N$2:$N$418)</f>
        <v>0</v>
      </c>
      <c r="L20" s="13">
        <f>SUMIF(Mercado_Receita!$T$2:$T$418,"44531B2Energia horáriaRuralNão se aplicaNão se aplicaNão se aplicaFora ponta",Mercado_Receita!$N$2:$N$418)</f>
        <v>0</v>
      </c>
      <c r="M20" s="13">
        <f>SUMIF(Mercado_Receita!$T$2:$T$418,"44562B2Energia horáriaRuralNão se aplicaNão se aplicaNão se aplicaFora ponta",Mercado_Receita!$N$2:$N$418)</f>
        <v>0</v>
      </c>
      <c r="N20" s="13">
        <f>SUMIF(Mercado_Receita!$T$2:$T$418,"44593B2Energia horáriaRuralNão se aplicaNão se aplicaNão se aplicaFora ponta",Mercado_Receita!$N$2:$N$418)</f>
        <v>0</v>
      </c>
      <c r="O20" s="13">
        <f>SUMIF(Mercado_Receita!$T$2:$T$418,"44621B2Energia horáriaRuralNão se aplicaNão se aplicaNão se aplicaFora ponta",Mercado_Receita!$N$2:$N$418)</f>
        <v>0</v>
      </c>
      <c r="P20" s="13">
        <f>SUMIF(Mercado_Receita!$T$2:$T$418,"44652B2Energia horáriaRuralNão se aplicaNão se aplicaNão se aplicaFora ponta",Mercado_Receita!$N$2:$N$418)</f>
        <v>0</v>
      </c>
      <c r="Q20" s="13">
        <f>SUMIF(Mercado_Receita!$T$2:$T$418,"44682B2Energia horáriaRuralNão se aplicaNão se aplicaNão se aplicaFora ponta",Mercado_Receita!$N$2:$N$418)</f>
        <v>0</v>
      </c>
      <c r="R20" s="13">
        <f>SUMIF(Mercado_Receita!$T$2:$T$418,"44713B2Energia horáriaRuralNão se aplicaNão se aplicaNão se aplicaFora ponta",Mercado_Receita!$N$2:$N$418)</f>
        <v>0</v>
      </c>
      <c r="S20" s="13">
        <f>SUMIF(Mercado_Receita!$T$2:$T$418,"44743B2Energia horáriaRuralNão se aplicaNão se aplicaNão se aplicaFora ponta",Mercado_Receita!$N$2:$N$418)</f>
        <v>0</v>
      </c>
      <c r="T20" s="13">
        <f>SUMIF(Mercado_Receita!$T$2:$T$418,"44774B2Energia horáriaRuralNão se aplicaNão se aplicaNão se aplicaFora ponta",Mercado_Receita!$N$2:$N$418)</f>
        <v>0</v>
      </c>
      <c r="U20" s="13">
        <f t="shared" si="0"/>
        <v>0</v>
      </c>
      <c r="V20" s="13"/>
      <c r="W20" s="13"/>
    </row>
    <row r="21" spans="1:23" ht="11.25" customHeight="1" x14ac:dyDescent="0.3">
      <c r="A21" s="77"/>
      <c r="B21" s="12" t="s">
        <v>73</v>
      </c>
      <c r="C21" s="12" t="s">
        <v>44</v>
      </c>
      <c r="D21" s="12" t="s">
        <v>25</v>
      </c>
      <c r="E21" s="12" t="s">
        <v>25</v>
      </c>
      <c r="F21" s="12" t="s">
        <v>25</v>
      </c>
      <c r="G21" s="13" t="s">
        <v>74</v>
      </c>
      <c r="H21" s="13" t="s">
        <v>70</v>
      </c>
      <c r="I21" s="13">
        <f>SUMIF(Mercado_Receita!$T$2:$T$418,"44440B2Energia convencionalRuralNão se aplicaNão se aplicaNão se aplicaNão se aplica",Mercado_Receita!$N$2:$N$418)</f>
        <v>1433.4670000000001</v>
      </c>
      <c r="J21" s="13">
        <f>SUMIF(Mercado_Receita!$T$2:$T$418,"44470B2Energia convencionalRuralNão se aplicaNão se aplicaNão se aplicaNão se aplica",Mercado_Receita!$N$2:$N$418)</f>
        <v>1495.3219999999999</v>
      </c>
      <c r="K21" s="13">
        <f>SUMIF(Mercado_Receita!$T$2:$T$418,"44501B2Energia convencionalRuralNão se aplicaNão se aplicaNão se aplicaNão se aplica",Mercado_Receita!$N$2:$N$418)</f>
        <v>1605.0549999999998</v>
      </c>
      <c r="L21" s="13">
        <f>SUMIF(Mercado_Receita!$T$2:$T$418,"44531B2Energia convencionalRuralNão se aplicaNão se aplicaNão se aplicaNão se aplica",Mercado_Receita!$N$2:$N$418)</f>
        <v>1768.6190000000001</v>
      </c>
      <c r="M21" s="13">
        <f>SUMIF(Mercado_Receita!$T$2:$T$418,"44562B2Energia convencionalRuralNão se aplicaNão se aplicaNão se aplicaNão se aplica",Mercado_Receita!$N$2:$N$418)</f>
        <v>2270.1439999999998</v>
      </c>
      <c r="N21" s="13">
        <f>SUMIF(Mercado_Receita!$T$2:$T$418,"44593B2Energia convencionalRuralNão se aplicaNão se aplicaNão se aplicaNão se aplica",Mercado_Receita!$N$2:$N$418)</f>
        <v>2175.5860000000002</v>
      </c>
      <c r="O21" s="13">
        <f>SUMIF(Mercado_Receita!$T$2:$T$418,"44621B2Energia convencionalRuralNão se aplicaNão se aplicaNão se aplicaNão se aplica",Mercado_Receita!$N$2:$N$418)</f>
        <v>1718.41</v>
      </c>
      <c r="P21" s="13">
        <f>SUMIF(Mercado_Receita!$T$2:$T$418,"44652B2Energia convencionalRuralNão se aplicaNão se aplicaNão se aplicaNão se aplica",Mercado_Receita!$N$2:$N$418)</f>
        <v>1503.6759999999999</v>
      </c>
      <c r="Q21" s="13">
        <f>SUMIF(Mercado_Receita!$T$2:$T$418,"44682B2Energia convencionalRuralNão se aplicaNão se aplicaNão se aplicaNão se aplica",Mercado_Receita!$N$2:$N$418)</f>
        <v>1408.97</v>
      </c>
      <c r="R21" s="13">
        <f>SUMIF(Mercado_Receita!$T$2:$T$418,"44713B2Energia convencionalRuralNão se aplicaNão se aplicaNão se aplicaNão se aplica",Mercado_Receita!$N$2:$N$418)</f>
        <v>1366.3050000000001</v>
      </c>
      <c r="S21" s="13">
        <f>SUMIF(Mercado_Receita!$T$2:$T$418,"44743B2Energia convencionalRuralNão se aplicaNão se aplicaNão se aplicaNão se aplica",Mercado_Receita!$N$2:$N$418)</f>
        <v>1252.6560000000002</v>
      </c>
      <c r="T21" s="13">
        <f>SUMIF(Mercado_Receita!$T$2:$T$418,"44774B2Energia convencionalRuralNão se aplicaNão se aplicaNão se aplicaNão se aplica",Mercado_Receita!$N$2:$N$418)</f>
        <v>1402.4649999999999</v>
      </c>
      <c r="U21" s="13">
        <f t="shared" si="0"/>
        <v>19400.674999999996</v>
      </c>
      <c r="V21" s="13"/>
      <c r="W21" s="13"/>
    </row>
    <row r="22" spans="1:23" ht="11.25" customHeight="1" x14ac:dyDescent="0.3">
      <c r="A22" s="77"/>
      <c r="B22" s="76" t="s">
        <v>69</v>
      </c>
      <c r="C22" s="76" t="s">
        <v>44</v>
      </c>
      <c r="D22" s="76" t="s">
        <v>86</v>
      </c>
      <c r="E22" s="76" t="s">
        <v>25</v>
      </c>
      <c r="F22" s="76" t="s">
        <v>25</v>
      </c>
      <c r="G22" s="13" t="s">
        <v>71</v>
      </c>
      <c r="H22" s="13" t="s">
        <v>70</v>
      </c>
      <c r="I22" s="13">
        <f>SUMIF(Mercado_Receita!$T$2:$T$418,"44440B2Energia horáriaRuralCooperativa de eletrificação ruralNão se aplicaNão se aplicaPonta",Mercado_Receita!$N$2:$N$418)</f>
        <v>0</v>
      </c>
      <c r="J22" s="13">
        <f>SUMIF(Mercado_Receita!$T$2:$T$418,"44470B2Energia horáriaRuralCooperativa de eletrificação ruralNão se aplicaNão se aplicaPonta",Mercado_Receita!$N$2:$N$418)</f>
        <v>0</v>
      </c>
      <c r="K22" s="13">
        <f>SUMIF(Mercado_Receita!$T$2:$T$418,"44501B2Energia horáriaRuralCooperativa de eletrificação ruralNão se aplicaNão se aplicaPonta",Mercado_Receita!$N$2:$N$418)</f>
        <v>0</v>
      </c>
      <c r="L22" s="13">
        <f>SUMIF(Mercado_Receita!$T$2:$T$418,"44531B2Energia horáriaRuralCooperativa de eletrificação ruralNão se aplicaNão se aplicaPonta",Mercado_Receita!$N$2:$N$418)</f>
        <v>0</v>
      </c>
      <c r="M22" s="13">
        <f>SUMIF(Mercado_Receita!$T$2:$T$418,"44562B2Energia horáriaRuralCooperativa de eletrificação ruralNão se aplicaNão se aplicaPonta",Mercado_Receita!$N$2:$N$418)</f>
        <v>0</v>
      </c>
      <c r="N22" s="13">
        <f>SUMIF(Mercado_Receita!$T$2:$T$418,"44593B2Energia horáriaRuralCooperativa de eletrificação ruralNão se aplicaNão se aplicaPonta",Mercado_Receita!$N$2:$N$418)</f>
        <v>0</v>
      </c>
      <c r="O22" s="13">
        <f>SUMIF(Mercado_Receita!$T$2:$T$418,"44621B2Energia horáriaRuralCooperativa de eletrificação ruralNão se aplicaNão se aplicaPonta",Mercado_Receita!$N$2:$N$418)</f>
        <v>0</v>
      </c>
      <c r="P22" s="13">
        <f>SUMIF(Mercado_Receita!$T$2:$T$418,"44652B2Energia horáriaRuralCooperativa de eletrificação ruralNão se aplicaNão se aplicaPonta",Mercado_Receita!$N$2:$N$418)</f>
        <v>0</v>
      </c>
      <c r="Q22" s="13">
        <f>SUMIF(Mercado_Receita!$T$2:$T$418,"44682B2Energia horáriaRuralCooperativa de eletrificação ruralNão se aplicaNão se aplicaPonta",Mercado_Receita!$N$2:$N$418)</f>
        <v>0</v>
      </c>
      <c r="R22" s="13">
        <f>SUMIF(Mercado_Receita!$T$2:$T$418,"44713B2Energia horáriaRuralCooperativa de eletrificação ruralNão se aplicaNão se aplicaPonta",Mercado_Receita!$N$2:$N$418)</f>
        <v>0</v>
      </c>
      <c r="S22" s="13">
        <f>SUMIF(Mercado_Receita!$T$2:$T$418,"44743B2Energia horáriaRuralCooperativa de eletrificação ruralNão se aplicaNão se aplicaPonta",Mercado_Receita!$N$2:$N$418)</f>
        <v>0</v>
      </c>
      <c r="T22" s="13">
        <f>SUMIF(Mercado_Receita!$T$2:$T$418,"44774B2Energia horáriaRuralCooperativa de eletrificação ruralNão se aplicaNão se aplicaPonta",Mercado_Receita!$N$2:$N$418)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77"/>
      <c r="B23" s="77"/>
      <c r="C23" s="77"/>
      <c r="D23" s="77"/>
      <c r="E23" s="77"/>
      <c r="F23" s="77"/>
      <c r="G23" s="13" t="s">
        <v>83</v>
      </c>
      <c r="H23" s="13" t="s">
        <v>70</v>
      </c>
      <c r="I23" s="13">
        <f>SUMIF(Mercado_Receita!$T$2:$T$418,"44440B2Energia horáriaRuralCooperativa de eletrificação ruralNão se aplicaNão se aplicaIntermediário",Mercado_Receita!$N$2:$N$418)</f>
        <v>0</v>
      </c>
      <c r="J23" s="13">
        <f>SUMIF(Mercado_Receita!$T$2:$T$418,"44470B2Energia horáriaRuralCooperativa de eletrificação ruralNão se aplicaNão se aplicaIntermediário",Mercado_Receita!$N$2:$N$418)</f>
        <v>0</v>
      </c>
      <c r="K23" s="13">
        <f>SUMIF(Mercado_Receita!$T$2:$T$418,"44501B2Energia horáriaRuralCooperativa de eletrificação ruralNão se aplicaNão se aplicaIntermediário",Mercado_Receita!$N$2:$N$418)</f>
        <v>0</v>
      </c>
      <c r="L23" s="13">
        <f>SUMIF(Mercado_Receita!$T$2:$T$418,"44531B2Energia horáriaRuralCooperativa de eletrificação ruralNão se aplicaNão se aplicaIntermediário",Mercado_Receita!$N$2:$N$418)</f>
        <v>0</v>
      </c>
      <c r="M23" s="13">
        <f>SUMIF(Mercado_Receita!$T$2:$T$418,"44562B2Energia horáriaRuralCooperativa de eletrificação ruralNão se aplicaNão se aplicaIntermediário",Mercado_Receita!$N$2:$N$418)</f>
        <v>0</v>
      </c>
      <c r="N23" s="13">
        <f>SUMIF(Mercado_Receita!$T$2:$T$418,"44593B2Energia horáriaRuralCooperativa de eletrificação ruralNão se aplicaNão se aplicaIntermediário",Mercado_Receita!$N$2:$N$418)</f>
        <v>0</v>
      </c>
      <c r="O23" s="13">
        <f>SUMIF(Mercado_Receita!$T$2:$T$418,"44621B2Energia horáriaRuralCooperativa de eletrificação ruralNão se aplicaNão se aplicaIntermediário",Mercado_Receita!$N$2:$N$418)</f>
        <v>0</v>
      </c>
      <c r="P23" s="13">
        <f>SUMIF(Mercado_Receita!$T$2:$T$418,"44652B2Energia horáriaRuralCooperativa de eletrificação ruralNão se aplicaNão se aplicaIntermediário",Mercado_Receita!$N$2:$N$418)</f>
        <v>0</v>
      </c>
      <c r="Q23" s="13">
        <f>SUMIF(Mercado_Receita!$T$2:$T$418,"44682B2Energia horáriaRuralCooperativa de eletrificação ruralNão se aplicaNão se aplicaIntermediário",Mercado_Receita!$N$2:$N$418)</f>
        <v>0</v>
      </c>
      <c r="R23" s="13">
        <f>SUMIF(Mercado_Receita!$T$2:$T$418,"44713B2Energia horáriaRuralCooperativa de eletrificação ruralNão se aplicaNão se aplicaIntermediário",Mercado_Receita!$N$2:$N$418)</f>
        <v>0</v>
      </c>
      <c r="S23" s="13">
        <f>SUMIF(Mercado_Receita!$T$2:$T$418,"44743B2Energia horáriaRuralCooperativa de eletrificação ruralNão se aplicaNão se aplicaIntermediário",Mercado_Receita!$N$2:$N$418)</f>
        <v>0</v>
      </c>
      <c r="T23" s="13">
        <f>SUMIF(Mercado_Receita!$T$2:$T$418,"44774B2Energia horáriaRuralCooperativa de eletrificação ruralNão se aplicaNão se aplicaIntermediário",Mercado_Receita!$N$2:$N$418)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77"/>
      <c r="B24" s="77"/>
      <c r="C24" s="77"/>
      <c r="D24" s="77"/>
      <c r="E24" s="77"/>
      <c r="F24" s="77"/>
      <c r="G24" s="13" t="s">
        <v>72</v>
      </c>
      <c r="H24" s="13" t="s">
        <v>70</v>
      </c>
      <c r="I24" s="13">
        <f>SUMIF(Mercado_Receita!$T$2:$T$418,"44440B2Energia horáriaRuralCooperativa de eletrificação ruralNão se aplicaNão se aplicaFora ponta",Mercado_Receita!$N$2:$N$418)</f>
        <v>0</v>
      </c>
      <c r="J24" s="13">
        <f>SUMIF(Mercado_Receita!$T$2:$T$418,"44470B2Energia horáriaRuralCooperativa de eletrificação ruralNão se aplicaNão se aplicaFora ponta",Mercado_Receita!$N$2:$N$418)</f>
        <v>0</v>
      </c>
      <c r="K24" s="13">
        <f>SUMIF(Mercado_Receita!$T$2:$T$418,"44501B2Energia horáriaRuralCooperativa de eletrificação ruralNão se aplicaNão se aplicaFora ponta",Mercado_Receita!$N$2:$N$418)</f>
        <v>0</v>
      </c>
      <c r="L24" s="13">
        <f>SUMIF(Mercado_Receita!$T$2:$T$418,"44531B2Energia horáriaRuralCooperativa de eletrificação ruralNão se aplicaNão se aplicaFora ponta",Mercado_Receita!$N$2:$N$418)</f>
        <v>0</v>
      </c>
      <c r="M24" s="13">
        <f>SUMIF(Mercado_Receita!$T$2:$T$418,"44562B2Energia horáriaRuralCooperativa de eletrificação ruralNão se aplicaNão se aplicaFora ponta",Mercado_Receita!$N$2:$N$418)</f>
        <v>0</v>
      </c>
      <c r="N24" s="13">
        <f>SUMIF(Mercado_Receita!$T$2:$T$418,"44593B2Energia horáriaRuralCooperativa de eletrificação ruralNão se aplicaNão se aplicaFora ponta",Mercado_Receita!$N$2:$N$418)</f>
        <v>0</v>
      </c>
      <c r="O24" s="13">
        <f>SUMIF(Mercado_Receita!$T$2:$T$418,"44621B2Energia horáriaRuralCooperativa de eletrificação ruralNão se aplicaNão se aplicaFora ponta",Mercado_Receita!$N$2:$N$418)</f>
        <v>0</v>
      </c>
      <c r="P24" s="13">
        <f>SUMIF(Mercado_Receita!$T$2:$T$418,"44652B2Energia horáriaRuralCooperativa de eletrificação ruralNão se aplicaNão se aplicaFora ponta",Mercado_Receita!$N$2:$N$418)</f>
        <v>0</v>
      </c>
      <c r="Q24" s="13">
        <f>SUMIF(Mercado_Receita!$T$2:$T$418,"44682B2Energia horáriaRuralCooperativa de eletrificação ruralNão se aplicaNão se aplicaFora ponta",Mercado_Receita!$N$2:$N$418)</f>
        <v>0</v>
      </c>
      <c r="R24" s="13">
        <f>SUMIF(Mercado_Receita!$T$2:$T$418,"44713B2Energia horáriaRuralCooperativa de eletrificação ruralNão se aplicaNão se aplicaFora ponta",Mercado_Receita!$N$2:$N$418)</f>
        <v>0</v>
      </c>
      <c r="S24" s="13">
        <f>SUMIF(Mercado_Receita!$T$2:$T$418,"44743B2Energia horáriaRuralCooperativa de eletrificação ruralNão se aplicaNão se aplicaFora ponta",Mercado_Receita!$N$2:$N$418)</f>
        <v>0</v>
      </c>
      <c r="T24" s="13">
        <f>SUMIF(Mercado_Receita!$T$2:$T$418,"44774B2Energia horáriaRuralCooperativa de eletrificação ruralNão se aplicaNão se aplicaFora ponta",Mercado_Receita!$N$2:$N$418)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77"/>
      <c r="B25" s="12" t="s">
        <v>73</v>
      </c>
      <c r="C25" s="12" t="s">
        <v>44</v>
      </c>
      <c r="D25" s="12" t="s">
        <v>86</v>
      </c>
      <c r="E25" s="12" t="s">
        <v>25</v>
      </c>
      <c r="F25" s="12" t="s">
        <v>25</v>
      </c>
      <c r="G25" s="13" t="s">
        <v>74</v>
      </c>
      <c r="H25" s="13" t="s">
        <v>70</v>
      </c>
      <c r="I25" s="13">
        <f>SUMIF(Mercado_Receita!$T$2:$T$418,"44440B2Energia convencionalRuralCooperativa de eletrificação ruralNão se aplicaNão se aplicaNão se aplica",Mercado_Receita!$N$2:$N$418)</f>
        <v>0</v>
      </c>
      <c r="J25" s="13">
        <f>SUMIF(Mercado_Receita!$T$2:$T$418,"44470B2Energia convencionalRuralCooperativa de eletrificação ruralNão se aplicaNão se aplicaNão se aplica",Mercado_Receita!$N$2:$N$418)</f>
        <v>0</v>
      </c>
      <c r="K25" s="13">
        <f>SUMIF(Mercado_Receita!$T$2:$T$418,"44501B2Energia convencionalRuralCooperativa de eletrificação ruralNão se aplicaNão se aplicaNão se aplica",Mercado_Receita!$N$2:$N$418)</f>
        <v>0</v>
      </c>
      <c r="L25" s="13">
        <f>SUMIF(Mercado_Receita!$T$2:$T$418,"44531B2Energia convencionalRuralCooperativa de eletrificação ruralNão se aplicaNão se aplicaNão se aplica",Mercado_Receita!$N$2:$N$418)</f>
        <v>0</v>
      </c>
      <c r="M25" s="13">
        <f>SUMIF(Mercado_Receita!$T$2:$T$418,"44562B2Energia convencionalRuralCooperativa de eletrificação ruralNão se aplicaNão se aplicaNão se aplica",Mercado_Receita!$N$2:$N$418)</f>
        <v>0</v>
      </c>
      <c r="N25" s="13">
        <f>SUMIF(Mercado_Receita!$T$2:$T$418,"44593B2Energia convencionalRuralCooperativa de eletrificação ruralNão se aplicaNão se aplicaNão se aplica",Mercado_Receita!$N$2:$N$418)</f>
        <v>0</v>
      </c>
      <c r="O25" s="13">
        <f>SUMIF(Mercado_Receita!$T$2:$T$418,"44621B2Energia convencionalRuralCooperativa de eletrificação ruralNão se aplicaNão se aplicaNão se aplica",Mercado_Receita!$N$2:$N$418)</f>
        <v>0</v>
      </c>
      <c r="P25" s="13">
        <f>SUMIF(Mercado_Receita!$T$2:$T$418,"44652B2Energia convencionalRuralCooperativa de eletrificação ruralNão se aplicaNão se aplicaNão se aplica",Mercado_Receita!$N$2:$N$418)</f>
        <v>0</v>
      </c>
      <c r="Q25" s="13">
        <f>SUMIF(Mercado_Receita!$T$2:$T$418,"44682B2Energia convencionalRuralCooperativa de eletrificação ruralNão se aplicaNão se aplicaNão se aplica",Mercado_Receita!$N$2:$N$418)</f>
        <v>0</v>
      </c>
      <c r="R25" s="13">
        <f>SUMIF(Mercado_Receita!$T$2:$T$418,"44713B2Energia convencionalRuralCooperativa de eletrificação ruralNão se aplicaNão se aplicaNão se aplica",Mercado_Receita!$N$2:$N$418)</f>
        <v>0</v>
      </c>
      <c r="S25" s="13">
        <f>SUMIF(Mercado_Receita!$T$2:$T$418,"44743B2Energia convencionalRuralCooperativa de eletrificação ruralNão se aplicaNão se aplicaNão se aplica",Mercado_Receita!$N$2:$N$418)</f>
        <v>0</v>
      </c>
      <c r="T25" s="13">
        <f>SUMIF(Mercado_Receita!$T$2:$T$418,"44774B2Energia convencionalRuralCooperativa de eletrificação ruralNão se aplicaNão se aplicaNão se aplica",Mercado_Receita!$N$2:$N$418)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77"/>
      <c r="B26" s="76" t="s">
        <v>69</v>
      </c>
      <c r="C26" s="76" t="s">
        <v>44</v>
      </c>
      <c r="D26" s="76" t="s">
        <v>87</v>
      </c>
      <c r="E26" s="76" t="s">
        <v>25</v>
      </c>
      <c r="F26" s="76" t="s">
        <v>25</v>
      </c>
      <c r="G26" s="13" t="s">
        <v>71</v>
      </c>
      <c r="H26" s="13" t="s">
        <v>70</v>
      </c>
      <c r="I26" s="13">
        <f>SUMIF(Mercado_Receita!$T$2:$T$418,"44440B2Energia horáriaRuralServiço público de irrigação ruralNão se aplicaNão se aplicaPonta",Mercado_Receita!$N$2:$N$418)</f>
        <v>0</v>
      </c>
      <c r="J26" s="13">
        <f>SUMIF(Mercado_Receita!$T$2:$T$418,"44470B2Energia horáriaRuralServiço público de irrigação ruralNão se aplicaNão se aplicaPonta",Mercado_Receita!$N$2:$N$418)</f>
        <v>0</v>
      </c>
      <c r="K26" s="13">
        <f>SUMIF(Mercado_Receita!$T$2:$T$418,"44501B2Energia horáriaRuralServiço público de irrigação ruralNão se aplicaNão se aplicaPonta",Mercado_Receita!$N$2:$N$418)</f>
        <v>0</v>
      </c>
      <c r="L26" s="13">
        <f>SUMIF(Mercado_Receita!$T$2:$T$418,"44531B2Energia horáriaRuralServiço público de irrigação ruralNão se aplicaNão se aplicaPonta",Mercado_Receita!$N$2:$N$418)</f>
        <v>0</v>
      </c>
      <c r="M26" s="13">
        <f>SUMIF(Mercado_Receita!$T$2:$T$418,"44562B2Energia horáriaRuralServiço público de irrigação ruralNão se aplicaNão se aplicaPonta",Mercado_Receita!$N$2:$N$418)</f>
        <v>0</v>
      </c>
      <c r="N26" s="13">
        <f>SUMIF(Mercado_Receita!$T$2:$T$418,"44593B2Energia horáriaRuralServiço público de irrigação ruralNão se aplicaNão se aplicaPonta",Mercado_Receita!$N$2:$N$418)</f>
        <v>0</v>
      </c>
      <c r="O26" s="13">
        <f>SUMIF(Mercado_Receita!$T$2:$T$418,"44621B2Energia horáriaRuralServiço público de irrigação ruralNão se aplicaNão se aplicaPonta",Mercado_Receita!$N$2:$N$418)</f>
        <v>0</v>
      </c>
      <c r="P26" s="13">
        <f>SUMIF(Mercado_Receita!$T$2:$T$418,"44652B2Energia horáriaRuralServiço público de irrigação ruralNão se aplicaNão se aplicaPonta",Mercado_Receita!$N$2:$N$418)</f>
        <v>0</v>
      </c>
      <c r="Q26" s="13">
        <f>SUMIF(Mercado_Receita!$T$2:$T$418,"44682B2Energia horáriaRuralServiço público de irrigação ruralNão se aplicaNão se aplicaPonta",Mercado_Receita!$N$2:$N$418)</f>
        <v>0</v>
      </c>
      <c r="R26" s="13">
        <f>SUMIF(Mercado_Receita!$T$2:$T$418,"44713B2Energia horáriaRuralServiço público de irrigação ruralNão se aplicaNão se aplicaPonta",Mercado_Receita!$N$2:$N$418)</f>
        <v>0</v>
      </c>
      <c r="S26" s="13">
        <f>SUMIF(Mercado_Receita!$T$2:$T$418,"44743B2Energia horáriaRuralServiço público de irrigação ruralNão se aplicaNão se aplicaPonta",Mercado_Receita!$N$2:$N$418)</f>
        <v>0</v>
      </c>
      <c r="T26" s="13">
        <f>SUMIF(Mercado_Receita!$T$2:$T$418,"44774B2Energia horáriaRuralServiço público de irrigação ruralNão se aplicaNão se aplicaPonta",Mercado_Receita!$N$2:$N$418)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77"/>
      <c r="B27" s="77"/>
      <c r="C27" s="77"/>
      <c r="D27" s="77"/>
      <c r="E27" s="77"/>
      <c r="F27" s="77"/>
      <c r="G27" s="13" t="s">
        <v>83</v>
      </c>
      <c r="H27" s="13" t="s">
        <v>70</v>
      </c>
      <c r="I27" s="13">
        <f>SUMIF(Mercado_Receita!$T$2:$T$418,"44440B2Energia horáriaRuralServiço público de irrigação ruralNão se aplicaNão se aplicaIntermediário",Mercado_Receita!$N$2:$N$418)</f>
        <v>0</v>
      </c>
      <c r="J27" s="13">
        <f>SUMIF(Mercado_Receita!$T$2:$T$418,"44470B2Energia horáriaRuralServiço público de irrigação ruralNão se aplicaNão se aplicaIntermediário",Mercado_Receita!$N$2:$N$418)</f>
        <v>0</v>
      </c>
      <c r="K27" s="13">
        <f>SUMIF(Mercado_Receita!$T$2:$T$418,"44501B2Energia horáriaRuralServiço público de irrigação ruralNão se aplicaNão se aplicaIntermediário",Mercado_Receita!$N$2:$N$418)</f>
        <v>0</v>
      </c>
      <c r="L27" s="13">
        <f>SUMIF(Mercado_Receita!$T$2:$T$418,"44531B2Energia horáriaRuralServiço público de irrigação ruralNão se aplicaNão se aplicaIntermediário",Mercado_Receita!$N$2:$N$418)</f>
        <v>0</v>
      </c>
      <c r="M27" s="13">
        <f>SUMIF(Mercado_Receita!$T$2:$T$418,"44562B2Energia horáriaRuralServiço público de irrigação ruralNão se aplicaNão se aplicaIntermediário",Mercado_Receita!$N$2:$N$418)</f>
        <v>0</v>
      </c>
      <c r="N27" s="13">
        <f>SUMIF(Mercado_Receita!$T$2:$T$418,"44593B2Energia horáriaRuralServiço público de irrigação ruralNão se aplicaNão se aplicaIntermediário",Mercado_Receita!$N$2:$N$418)</f>
        <v>0</v>
      </c>
      <c r="O27" s="13">
        <f>SUMIF(Mercado_Receita!$T$2:$T$418,"44621B2Energia horáriaRuralServiço público de irrigação ruralNão se aplicaNão se aplicaIntermediário",Mercado_Receita!$N$2:$N$418)</f>
        <v>0</v>
      </c>
      <c r="P27" s="13">
        <f>SUMIF(Mercado_Receita!$T$2:$T$418,"44652B2Energia horáriaRuralServiço público de irrigação ruralNão se aplicaNão se aplicaIntermediário",Mercado_Receita!$N$2:$N$418)</f>
        <v>0</v>
      </c>
      <c r="Q27" s="13">
        <f>SUMIF(Mercado_Receita!$T$2:$T$418,"44682B2Energia horáriaRuralServiço público de irrigação ruralNão se aplicaNão se aplicaIntermediário",Mercado_Receita!$N$2:$N$418)</f>
        <v>0</v>
      </c>
      <c r="R27" s="13">
        <f>SUMIF(Mercado_Receita!$T$2:$T$418,"44713B2Energia horáriaRuralServiço público de irrigação ruralNão se aplicaNão se aplicaIntermediário",Mercado_Receita!$N$2:$N$418)</f>
        <v>0</v>
      </c>
      <c r="S27" s="13">
        <f>SUMIF(Mercado_Receita!$T$2:$T$418,"44743B2Energia horáriaRuralServiço público de irrigação ruralNão se aplicaNão se aplicaIntermediário",Mercado_Receita!$N$2:$N$418)</f>
        <v>0</v>
      </c>
      <c r="T27" s="13">
        <f>SUMIF(Mercado_Receita!$T$2:$T$418,"44774B2Energia horáriaRuralServiço público de irrigação ruralNão se aplicaNão se aplicaIntermediário",Mercado_Receita!$N$2:$N$418)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77"/>
      <c r="B28" s="77"/>
      <c r="C28" s="77"/>
      <c r="D28" s="77"/>
      <c r="E28" s="77"/>
      <c r="F28" s="77"/>
      <c r="G28" s="13" t="s">
        <v>72</v>
      </c>
      <c r="H28" s="13" t="s">
        <v>70</v>
      </c>
      <c r="I28" s="13">
        <f>SUMIF(Mercado_Receita!$T$2:$T$418,"44440B2Energia horáriaRuralServiço público de irrigação ruralNão se aplicaNão se aplicaFora ponta",Mercado_Receita!$N$2:$N$418)</f>
        <v>0</v>
      </c>
      <c r="J28" s="13">
        <f>SUMIF(Mercado_Receita!$T$2:$T$418,"44470B2Energia horáriaRuralServiço público de irrigação ruralNão se aplicaNão se aplicaFora ponta",Mercado_Receita!$N$2:$N$418)</f>
        <v>0</v>
      </c>
      <c r="K28" s="13">
        <f>SUMIF(Mercado_Receita!$T$2:$T$418,"44501B2Energia horáriaRuralServiço público de irrigação ruralNão se aplicaNão se aplicaFora ponta",Mercado_Receita!$N$2:$N$418)</f>
        <v>0</v>
      </c>
      <c r="L28" s="13">
        <f>SUMIF(Mercado_Receita!$T$2:$T$418,"44531B2Energia horáriaRuralServiço público de irrigação ruralNão se aplicaNão se aplicaFora ponta",Mercado_Receita!$N$2:$N$418)</f>
        <v>0</v>
      </c>
      <c r="M28" s="13">
        <f>SUMIF(Mercado_Receita!$T$2:$T$418,"44562B2Energia horáriaRuralServiço público de irrigação ruralNão se aplicaNão se aplicaFora ponta",Mercado_Receita!$N$2:$N$418)</f>
        <v>0</v>
      </c>
      <c r="N28" s="13">
        <f>SUMIF(Mercado_Receita!$T$2:$T$418,"44593B2Energia horáriaRuralServiço público de irrigação ruralNão se aplicaNão se aplicaFora ponta",Mercado_Receita!$N$2:$N$418)</f>
        <v>0</v>
      </c>
      <c r="O28" s="13">
        <f>SUMIF(Mercado_Receita!$T$2:$T$418,"44621B2Energia horáriaRuralServiço público de irrigação ruralNão se aplicaNão se aplicaFora ponta",Mercado_Receita!$N$2:$N$418)</f>
        <v>0</v>
      </c>
      <c r="P28" s="13">
        <f>SUMIF(Mercado_Receita!$T$2:$T$418,"44652B2Energia horáriaRuralServiço público de irrigação ruralNão se aplicaNão se aplicaFora ponta",Mercado_Receita!$N$2:$N$418)</f>
        <v>0</v>
      </c>
      <c r="Q28" s="13">
        <f>SUMIF(Mercado_Receita!$T$2:$T$418,"44682B2Energia horáriaRuralServiço público de irrigação ruralNão se aplicaNão se aplicaFora ponta",Mercado_Receita!$N$2:$N$418)</f>
        <v>0</v>
      </c>
      <c r="R28" s="13">
        <f>SUMIF(Mercado_Receita!$T$2:$T$418,"44713B2Energia horáriaRuralServiço público de irrigação ruralNão se aplicaNão se aplicaFora ponta",Mercado_Receita!$N$2:$N$418)</f>
        <v>0</v>
      </c>
      <c r="S28" s="13">
        <f>SUMIF(Mercado_Receita!$T$2:$T$418,"44743B2Energia horáriaRuralServiço público de irrigação ruralNão se aplicaNão se aplicaFora ponta",Mercado_Receita!$N$2:$N$418)</f>
        <v>0</v>
      </c>
      <c r="T28" s="13">
        <f>SUMIF(Mercado_Receita!$T$2:$T$418,"44774B2Energia horáriaRuralServiço público de irrigação ruralNão se aplicaNão se aplicaFora ponta",Mercado_Receita!$N$2:$N$418)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77"/>
      <c r="B29" s="12" t="s">
        <v>73</v>
      </c>
      <c r="C29" s="12" t="s">
        <v>44</v>
      </c>
      <c r="D29" s="12" t="s">
        <v>87</v>
      </c>
      <c r="E29" s="12" t="s">
        <v>25</v>
      </c>
      <c r="F29" s="12" t="s">
        <v>25</v>
      </c>
      <c r="G29" s="13" t="s">
        <v>74</v>
      </c>
      <c r="H29" s="13" t="s">
        <v>70</v>
      </c>
      <c r="I29" s="13">
        <f>SUMIF(Mercado_Receita!$T$2:$T$418,"44440B2Energia convencionalRuralServiço público de irrigação ruralNão se aplicaNão se aplicaNão se aplica",Mercado_Receita!$N$2:$N$418)</f>
        <v>0</v>
      </c>
      <c r="J29" s="13">
        <f>SUMIF(Mercado_Receita!$T$2:$T$418,"44470B2Energia convencionalRuralServiço público de irrigação ruralNão se aplicaNão se aplicaNão se aplica",Mercado_Receita!$N$2:$N$418)</f>
        <v>0</v>
      </c>
      <c r="K29" s="13">
        <f>SUMIF(Mercado_Receita!$T$2:$T$418,"44501B2Energia convencionalRuralServiço público de irrigação ruralNão se aplicaNão se aplicaNão se aplica",Mercado_Receita!$N$2:$N$418)</f>
        <v>0</v>
      </c>
      <c r="L29" s="13">
        <f>SUMIF(Mercado_Receita!$T$2:$T$418,"44531B2Energia convencionalRuralServiço público de irrigação ruralNão se aplicaNão se aplicaNão se aplica",Mercado_Receita!$N$2:$N$418)</f>
        <v>0</v>
      </c>
      <c r="M29" s="13">
        <f>SUMIF(Mercado_Receita!$T$2:$T$418,"44562B2Energia convencionalRuralServiço público de irrigação ruralNão se aplicaNão se aplicaNão se aplica",Mercado_Receita!$N$2:$N$418)</f>
        <v>0</v>
      </c>
      <c r="N29" s="13">
        <f>SUMIF(Mercado_Receita!$T$2:$T$418,"44593B2Energia convencionalRuralServiço público de irrigação ruralNão se aplicaNão se aplicaNão se aplica",Mercado_Receita!$N$2:$N$418)</f>
        <v>0</v>
      </c>
      <c r="O29" s="13">
        <f>SUMIF(Mercado_Receita!$T$2:$T$418,"44621B2Energia convencionalRuralServiço público de irrigação ruralNão se aplicaNão se aplicaNão se aplica",Mercado_Receita!$N$2:$N$418)</f>
        <v>0</v>
      </c>
      <c r="P29" s="13">
        <f>SUMIF(Mercado_Receita!$T$2:$T$418,"44652B2Energia convencionalRuralServiço público de irrigação ruralNão se aplicaNão se aplicaNão se aplica",Mercado_Receita!$N$2:$N$418)</f>
        <v>0</v>
      </c>
      <c r="Q29" s="13">
        <f>SUMIF(Mercado_Receita!$T$2:$T$418,"44682B2Energia convencionalRuralServiço público de irrigação ruralNão se aplicaNão se aplicaNão se aplica",Mercado_Receita!$N$2:$N$418)</f>
        <v>0</v>
      </c>
      <c r="R29" s="13">
        <f>SUMIF(Mercado_Receita!$T$2:$T$418,"44713B2Energia convencionalRuralServiço público de irrigação ruralNão se aplicaNão se aplicaNão se aplica",Mercado_Receita!$N$2:$N$418)</f>
        <v>0</v>
      </c>
      <c r="S29" s="13">
        <f>SUMIF(Mercado_Receita!$T$2:$T$418,"44743B2Energia convencionalRuralServiço público de irrigação ruralNão se aplicaNão se aplicaNão se aplica",Mercado_Receita!$N$2:$N$418)</f>
        <v>0</v>
      </c>
      <c r="T29" s="13">
        <f>SUMIF(Mercado_Receita!$T$2:$T$418,"44774B2Energia convencionalRuralServiço público de irrigação ruralNão se aplicaNão se aplicaNão se aplica",Mercado_Receita!$N$2:$N$418)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77"/>
      <c r="B30" s="76" t="s">
        <v>84</v>
      </c>
      <c r="C30" s="76" t="s">
        <v>44</v>
      </c>
      <c r="D30" s="12" t="s">
        <v>25</v>
      </c>
      <c r="E30" s="12" t="s">
        <v>25</v>
      </c>
      <c r="F30" s="12" t="s">
        <v>25</v>
      </c>
      <c r="G30" s="13" t="s">
        <v>74</v>
      </c>
      <c r="H30" s="13" t="s">
        <v>70</v>
      </c>
      <c r="I30" s="13">
        <f>SUMIF(Mercado_Receita!$T$2:$T$418,"44440B2Energia convencional pré-pagamentoRuralNão se aplicaNão se aplicaNão se aplicaNão se aplica",Mercado_Receita!$N$2:$N$418)</f>
        <v>0</v>
      </c>
      <c r="J30" s="13">
        <f>SUMIF(Mercado_Receita!$T$2:$T$418,"44470B2Energia convencional pré-pagamentoRuralNão se aplicaNão se aplicaNão se aplicaNão se aplica",Mercado_Receita!$N$2:$N$418)</f>
        <v>0</v>
      </c>
      <c r="K30" s="13">
        <f>SUMIF(Mercado_Receita!$T$2:$T$418,"44501B2Energia convencional pré-pagamentoRuralNão se aplicaNão se aplicaNão se aplicaNão se aplica",Mercado_Receita!$N$2:$N$418)</f>
        <v>0</v>
      </c>
      <c r="L30" s="13">
        <f>SUMIF(Mercado_Receita!$T$2:$T$418,"44531B2Energia convencional pré-pagamentoRuralNão se aplicaNão se aplicaNão se aplicaNão se aplica",Mercado_Receita!$N$2:$N$418)</f>
        <v>0</v>
      </c>
      <c r="M30" s="13">
        <f>SUMIF(Mercado_Receita!$T$2:$T$418,"44562B2Energia convencional pré-pagamentoRuralNão se aplicaNão se aplicaNão se aplicaNão se aplica",Mercado_Receita!$N$2:$N$418)</f>
        <v>0</v>
      </c>
      <c r="N30" s="13">
        <f>SUMIF(Mercado_Receita!$T$2:$T$418,"44593B2Energia convencional pré-pagamentoRuralNão se aplicaNão se aplicaNão se aplicaNão se aplica",Mercado_Receita!$N$2:$N$418)</f>
        <v>0</v>
      </c>
      <c r="O30" s="13">
        <f>SUMIF(Mercado_Receita!$T$2:$T$418,"44621B2Energia convencional pré-pagamentoRuralNão se aplicaNão se aplicaNão se aplicaNão se aplica",Mercado_Receita!$N$2:$N$418)</f>
        <v>0</v>
      </c>
      <c r="P30" s="13">
        <f>SUMIF(Mercado_Receita!$T$2:$T$418,"44652B2Energia convencional pré-pagamentoRuralNão se aplicaNão se aplicaNão se aplicaNão se aplica",Mercado_Receita!$N$2:$N$418)</f>
        <v>0</v>
      </c>
      <c r="Q30" s="13">
        <f>SUMIF(Mercado_Receita!$T$2:$T$418,"44682B2Energia convencional pré-pagamentoRuralNão se aplicaNão se aplicaNão se aplicaNão se aplica",Mercado_Receita!$N$2:$N$418)</f>
        <v>0</v>
      </c>
      <c r="R30" s="13">
        <f>SUMIF(Mercado_Receita!$T$2:$T$418,"44713B2Energia convencional pré-pagamentoRuralNão se aplicaNão se aplicaNão se aplicaNão se aplica",Mercado_Receita!$N$2:$N$418)</f>
        <v>0</v>
      </c>
      <c r="S30" s="13">
        <f>SUMIF(Mercado_Receita!$T$2:$T$418,"44743B2Energia convencional pré-pagamentoRuralNão se aplicaNão se aplicaNão se aplicaNão se aplica",Mercado_Receita!$N$2:$N$418)</f>
        <v>0</v>
      </c>
      <c r="T30" s="13">
        <f>SUMIF(Mercado_Receita!$T$2:$T$418,"44774B2Energia convencional pré-pagamentoRuralNão se aplicaNão se aplicaNão se aplicaNão se aplica",Mercado_Receita!$N$2:$N$418)</f>
        <v>0</v>
      </c>
      <c r="U30" s="13">
        <f t="shared" si="0"/>
        <v>0</v>
      </c>
      <c r="V30" s="13"/>
      <c r="W30" s="13"/>
    </row>
    <row r="31" spans="1:23" ht="11.25" customHeight="1" x14ac:dyDescent="0.3">
      <c r="A31" s="77"/>
      <c r="B31" s="77"/>
      <c r="C31" s="77"/>
      <c r="D31" s="12" t="s">
        <v>86</v>
      </c>
      <c r="E31" s="12" t="s">
        <v>25</v>
      </c>
      <c r="F31" s="12" t="s">
        <v>25</v>
      </c>
      <c r="G31" s="13" t="s">
        <v>74</v>
      </c>
      <c r="H31" s="13" t="s">
        <v>70</v>
      </c>
      <c r="I31" s="13">
        <f>SUMIF(Mercado_Receita!$T$2:$T$418,"44440B2Energia convencional pré-pagamentoRuralCooperativa de eletrificação ruralNão se aplicaNão se aplicaNão se aplica",Mercado_Receita!$N$2:$N$418)</f>
        <v>0</v>
      </c>
      <c r="J31" s="13">
        <f>SUMIF(Mercado_Receita!$T$2:$T$418,"44470B2Energia convencional pré-pagamentoRuralCooperativa de eletrificação ruralNão se aplicaNão se aplicaNão se aplica",Mercado_Receita!$N$2:$N$418)</f>
        <v>0</v>
      </c>
      <c r="K31" s="13">
        <f>SUMIF(Mercado_Receita!$T$2:$T$418,"44501B2Energia convencional pré-pagamentoRuralCooperativa de eletrificação ruralNão se aplicaNão se aplicaNão se aplica",Mercado_Receita!$N$2:$N$418)</f>
        <v>0</v>
      </c>
      <c r="L31" s="13">
        <f>SUMIF(Mercado_Receita!$T$2:$T$418,"44531B2Energia convencional pré-pagamentoRuralCooperativa de eletrificação ruralNão se aplicaNão se aplicaNão se aplica",Mercado_Receita!$N$2:$N$418)</f>
        <v>0</v>
      </c>
      <c r="M31" s="13">
        <f>SUMIF(Mercado_Receita!$T$2:$T$418,"44562B2Energia convencional pré-pagamentoRuralCooperativa de eletrificação ruralNão se aplicaNão se aplicaNão se aplica",Mercado_Receita!$N$2:$N$418)</f>
        <v>0</v>
      </c>
      <c r="N31" s="13">
        <f>SUMIF(Mercado_Receita!$T$2:$T$418,"44593B2Energia convencional pré-pagamentoRuralCooperativa de eletrificação ruralNão se aplicaNão se aplicaNão se aplica",Mercado_Receita!$N$2:$N$418)</f>
        <v>0</v>
      </c>
      <c r="O31" s="13">
        <f>SUMIF(Mercado_Receita!$T$2:$T$418,"44621B2Energia convencional pré-pagamentoRuralCooperativa de eletrificação ruralNão se aplicaNão se aplicaNão se aplica",Mercado_Receita!$N$2:$N$418)</f>
        <v>0</v>
      </c>
      <c r="P31" s="13">
        <f>SUMIF(Mercado_Receita!$T$2:$T$418,"44652B2Energia convencional pré-pagamentoRuralCooperativa de eletrificação ruralNão se aplicaNão se aplicaNão se aplica",Mercado_Receita!$N$2:$N$418)</f>
        <v>0</v>
      </c>
      <c r="Q31" s="13">
        <f>SUMIF(Mercado_Receita!$T$2:$T$418,"44682B2Energia convencional pré-pagamentoRuralCooperativa de eletrificação ruralNão se aplicaNão se aplicaNão se aplica",Mercado_Receita!$N$2:$N$418)</f>
        <v>0</v>
      </c>
      <c r="R31" s="13">
        <f>SUMIF(Mercado_Receita!$T$2:$T$418,"44713B2Energia convencional pré-pagamentoRuralCooperativa de eletrificação ruralNão se aplicaNão se aplicaNão se aplica",Mercado_Receita!$N$2:$N$418)</f>
        <v>0</v>
      </c>
      <c r="S31" s="13">
        <f>SUMIF(Mercado_Receita!$T$2:$T$418,"44743B2Energia convencional pré-pagamentoRuralCooperativa de eletrificação ruralNão se aplicaNão se aplicaNão se aplica",Mercado_Receita!$N$2:$N$418)</f>
        <v>0</v>
      </c>
      <c r="T31" s="13">
        <f>SUMIF(Mercado_Receita!$T$2:$T$418,"44774B2Energia convencional pré-pagamentoRuralCooperativa de eletrificação ruralNão se aplicaNão se aplicaNão se aplica",Mercado_Receita!$N$2:$N$418)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77"/>
      <c r="B32" s="77"/>
      <c r="C32" s="77"/>
      <c r="D32" s="12" t="s">
        <v>87</v>
      </c>
      <c r="E32" s="12" t="s">
        <v>25</v>
      </c>
      <c r="F32" s="12" t="s">
        <v>25</v>
      </c>
      <c r="G32" s="13" t="s">
        <v>74</v>
      </c>
      <c r="H32" s="13" t="s">
        <v>70</v>
      </c>
      <c r="I32" s="13">
        <f>SUMIF(Mercado_Receita!$T$2:$T$418,"44440B2Energia convencional pré-pagamentoRuralServiço público de irrigação ruralNão se aplicaNão se aplicaNão se aplica",Mercado_Receita!$N$2:$N$418)</f>
        <v>0</v>
      </c>
      <c r="J32" s="13">
        <f>SUMIF(Mercado_Receita!$T$2:$T$418,"44470B2Energia convencional pré-pagamentoRuralServiço público de irrigação ruralNão se aplicaNão se aplicaNão se aplica",Mercado_Receita!$N$2:$N$418)</f>
        <v>0</v>
      </c>
      <c r="K32" s="13">
        <f>SUMIF(Mercado_Receita!$T$2:$T$418,"44501B2Energia convencional pré-pagamentoRuralServiço público de irrigação ruralNão se aplicaNão se aplicaNão se aplica",Mercado_Receita!$N$2:$N$418)</f>
        <v>0</v>
      </c>
      <c r="L32" s="13">
        <f>SUMIF(Mercado_Receita!$T$2:$T$418,"44531B2Energia convencional pré-pagamentoRuralServiço público de irrigação ruralNão se aplicaNão se aplicaNão se aplica",Mercado_Receita!$N$2:$N$418)</f>
        <v>0</v>
      </c>
      <c r="M32" s="13">
        <f>SUMIF(Mercado_Receita!$T$2:$T$418,"44562B2Energia convencional pré-pagamentoRuralServiço público de irrigação ruralNão se aplicaNão se aplicaNão se aplica",Mercado_Receita!$N$2:$N$418)</f>
        <v>0</v>
      </c>
      <c r="N32" s="13">
        <f>SUMIF(Mercado_Receita!$T$2:$T$418,"44593B2Energia convencional pré-pagamentoRuralServiço público de irrigação ruralNão se aplicaNão se aplicaNão se aplica",Mercado_Receita!$N$2:$N$418)</f>
        <v>0</v>
      </c>
      <c r="O32" s="13">
        <f>SUMIF(Mercado_Receita!$T$2:$T$418,"44621B2Energia convencional pré-pagamentoRuralServiço público de irrigação ruralNão se aplicaNão se aplicaNão se aplica",Mercado_Receita!$N$2:$N$418)</f>
        <v>0</v>
      </c>
      <c r="P32" s="13">
        <f>SUMIF(Mercado_Receita!$T$2:$T$418,"44652B2Energia convencional pré-pagamentoRuralServiço público de irrigação ruralNão se aplicaNão se aplicaNão se aplica",Mercado_Receita!$N$2:$N$418)</f>
        <v>0</v>
      </c>
      <c r="Q32" s="13">
        <f>SUMIF(Mercado_Receita!$T$2:$T$418,"44682B2Energia convencional pré-pagamentoRuralServiço público de irrigação ruralNão se aplicaNão se aplicaNão se aplica",Mercado_Receita!$N$2:$N$418)</f>
        <v>0</v>
      </c>
      <c r="R32" s="13">
        <f>SUMIF(Mercado_Receita!$T$2:$T$418,"44713B2Energia convencional pré-pagamentoRuralServiço público de irrigação ruralNão se aplicaNão se aplicaNão se aplica",Mercado_Receita!$N$2:$N$418)</f>
        <v>0</v>
      </c>
      <c r="S32" s="13">
        <f>SUMIF(Mercado_Receita!$T$2:$T$418,"44743B2Energia convencional pré-pagamentoRuralServiço público de irrigação ruralNão se aplicaNão se aplicaNão se aplica",Mercado_Receita!$N$2:$N$418)</f>
        <v>0</v>
      </c>
      <c r="T32" s="13">
        <f>SUMIF(Mercado_Receita!$T$2:$T$418,"44774B2Energia convencional pré-pagamentoRuralServiço público de irrigação ruralNão se aplicaNão se aplicaNão se aplica",Mercado_Receita!$N$2:$N$418)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76" t="s">
        <v>35</v>
      </c>
      <c r="B33" s="76" t="s">
        <v>69</v>
      </c>
      <c r="C33" s="76" t="s">
        <v>25</v>
      </c>
      <c r="D33" s="76" t="s">
        <v>25</v>
      </c>
      <c r="E33" s="76" t="s">
        <v>25</v>
      </c>
      <c r="F33" s="76" t="s">
        <v>25</v>
      </c>
      <c r="G33" s="13" t="s">
        <v>71</v>
      </c>
      <c r="H33" s="13" t="s">
        <v>70</v>
      </c>
      <c r="I33" s="13">
        <f>SUMIF(Mercado_Receita!$T$2:$T$418,"44440B3Energia horáriaNão se aplicaNão se aplicaNão se aplicaNão se aplicaPonta",Mercado_Receita!$N$2:$N$418)</f>
        <v>0.109</v>
      </c>
      <c r="J33" s="13">
        <f>SUMIF(Mercado_Receita!$T$2:$T$418,"44470B3Energia horáriaNão se aplicaNão se aplicaNão se aplicaNão se aplicaPonta",Mercado_Receita!$N$2:$N$418)</f>
        <v>0.10100000000000001</v>
      </c>
      <c r="K33" s="13">
        <f>SUMIF(Mercado_Receita!$T$2:$T$418,"44501B3Energia horáriaNão se aplicaNão se aplicaNão se aplicaNão se aplicaPonta",Mercado_Receita!$N$2:$N$418)</f>
        <v>0.10299999999999999</v>
      </c>
      <c r="L33" s="13">
        <f>SUMIF(Mercado_Receita!$T$2:$T$418,"44531B3Energia horáriaNão se aplicaNão se aplicaNão se aplicaNão se aplicaPonta",Mercado_Receita!$N$2:$N$418)</f>
        <v>9.2999999999999999E-2</v>
      </c>
      <c r="M33" s="13">
        <f>SUMIF(Mercado_Receita!$T$2:$T$418,"44562B3Energia horáriaNão se aplicaNão se aplicaNão se aplicaNão se aplicaPonta",Mercado_Receita!$N$2:$N$418)</f>
        <v>0.156</v>
      </c>
      <c r="N33" s="13">
        <f>SUMIF(Mercado_Receita!$T$2:$T$418,"44593B3Energia horáriaNão se aplicaNão se aplicaNão se aplicaNão se aplicaPonta",Mercado_Receita!$N$2:$N$418)</f>
        <v>0.184</v>
      </c>
      <c r="O33" s="13">
        <f>SUMIF(Mercado_Receita!$T$2:$T$418,"44621B3Energia horáriaNão se aplicaNão se aplicaNão se aplicaNão se aplicaPonta",Mercado_Receita!$N$2:$N$418)</f>
        <v>0</v>
      </c>
      <c r="P33" s="13">
        <f>SUMIF(Mercado_Receita!$T$2:$T$418,"44652B3Energia horáriaNão se aplicaNão se aplicaNão se aplicaNão se aplicaPonta",Mercado_Receita!$N$2:$N$418)</f>
        <v>0</v>
      </c>
      <c r="Q33" s="13">
        <f>SUMIF(Mercado_Receita!$T$2:$T$418,"44682B3Energia horáriaNão se aplicaNão se aplicaNão se aplicaNão se aplicaPonta",Mercado_Receita!$N$2:$N$418)</f>
        <v>0</v>
      </c>
      <c r="R33" s="13">
        <f>SUMIF(Mercado_Receita!$T$2:$T$418,"44713B3Energia horáriaNão se aplicaNão se aplicaNão se aplicaNão se aplicaPonta",Mercado_Receita!$N$2:$N$418)</f>
        <v>0</v>
      </c>
      <c r="S33" s="13">
        <f>SUMIF(Mercado_Receita!$T$2:$T$418,"44743B3Energia horáriaNão se aplicaNão se aplicaNão se aplicaNão se aplicaPonta",Mercado_Receita!$N$2:$N$418)</f>
        <v>0</v>
      </c>
      <c r="T33" s="13">
        <f>SUMIF(Mercado_Receita!$T$2:$T$418,"44774B3Energia horáriaNão se aplicaNão se aplicaNão se aplicaNão se aplicaPonta",Mercado_Receita!$N$2:$N$418)</f>
        <v>0</v>
      </c>
      <c r="U33" s="13">
        <f t="shared" si="0"/>
        <v>0.746</v>
      </c>
      <c r="V33" s="13"/>
      <c r="W33" s="13"/>
    </row>
    <row r="34" spans="1:23" ht="11.25" customHeight="1" x14ac:dyDescent="0.3">
      <c r="A34" s="77"/>
      <c r="B34" s="77"/>
      <c r="C34" s="77"/>
      <c r="D34" s="77"/>
      <c r="E34" s="77"/>
      <c r="F34" s="77"/>
      <c r="G34" s="13" t="s">
        <v>83</v>
      </c>
      <c r="H34" s="13" t="s">
        <v>70</v>
      </c>
      <c r="I34" s="13">
        <f>SUMIF(Mercado_Receita!$T$2:$T$418,"44440B3Energia horáriaNão se aplicaNão se aplicaNão se aplicaNão se aplicaIntermediário",Mercado_Receita!$N$2:$N$418)</f>
        <v>6.9000000000000006E-2</v>
      </c>
      <c r="J34" s="13">
        <f>SUMIF(Mercado_Receita!$T$2:$T$418,"44470B3Energia horáriaNão se aplicaNão se aplicaNão se aplicaNão se aplicaIntermediário",Mercado_Receita!$N$2:$N$418)</f>
        <v>7.0999999999999994E-2</v>
      </c>
      <c r="K34" s="13">
        <f>SUMIF(Mercado_Receita!$T$2:$T$418,"44501B3Energia horáriaNão se aplicaNão se aplicaNão se aplicaNão se aplicaIntermediário",Mercado_Receita!$N$2:$N$418)</f>
        <v>6.7000000000000004E-2</v>
      </c>
      <c r="L34" s="13">
        <f>SUMIF(Mercado_Receita!$T$2:$T$418,"44531B3Energia horáriaNão se aplicaNão se aplicaNão se aplicaNão se aplicaIntermediário",Mercado_Receita!$N$2:$N$418)</f>
        <v>5.8000000000000003E-2</v>
      </c>
      <c r="M34" s="13">
        <f>SUMIF(Mercado_Receita!$T$2:$T$418,"44562B3Energia horáriaNão se aplicaNão se aplicaNão se aplicaNão se aplicaIntermediário",Mercado_Receita!$N$2:$N$418)</f>
        <v>0.09</v>
      </c>
      <c r="N34" s="13">
        <f>SUMIF(Mercado_Receita!$T$2:$T$418,"44593B3Energia horáriaNão se aplicaNão se aplicaNão se aplicaNão se aplicaIntermediário",Mercado_Receita!$N$2:$N$418)</f>
        <v>0.10199999999999999</v>
      </c>
      <c r="O34" s="13">
        <f>SUMIF(Mercado_Receita!$T$2:$T$418,"44621B3Energia horáriaNão se aplicaNão se aplicaNão se aplicaNão se aplicaIntermediário",Mercado_Receita!$N$2:$N$418)</f>
        <v>0</v>
      </c>
      <c r="P34" s="13">
        <f>SUMIF(Mercado_Receita!$T$2:$T$418,"44652B3Energia horáriaNão se aplicaNão se aplicaNão se aplicaNão se aplicaIntermediário",Mercado_Receita!$N$2:$N$418)</f>
        <v>0</v>
      </c>
      <c r="Q34" s="13">
        <f>SUMIF(Mercado_Receita!$T$2:$T$418,"44682B3Energia horáriaNão se aplicaNão se aplicaNão se aplicaNão se aplicaIntermediário",Mercado_Receita!$N$2:$N$418)</f>
        <v>0</v>
      </c>
      <c r="R34" s="13">
        <f>SUMIF(Mercado_Receita!$T$2:$T$418,"44713B3Energia horáriaNão se aplicaNão se aplicaNão se aplicaNão se aplicaIntermediário",Mercado_Receita!$N$2:$N$418)</f>
        <v>0</v>
      </c>
      <c r="S34" s="13">
        <f>SUMIF(Mercado_Receita!$T$2:$T$418,"44743B3Energia horáriaNão se aplicaNão se aplicaNão se aplicaNão se aplicaIntermediário",Mercado_Receita!$N$2:$N$418)</f>
        <v>0</v>
      </c>
      <c r="T34" s="13">
        <f>SUMIF(Mercado_Receita!$T$2:$T$418,"44774B3Energia horáriaNão se aplicaNão se aplicaNão se aplicaNão se aplicaIntermediário",Mercado_Receita!$N$2:$N$418)</f>
        <v>0</v>
      </c>
      <c r="U34" s="13">
        <f t="shared" si="0"/>
        <v>0.45699999999999996</v>
      </c>
      <c r="V34" s="13"/>
      <c r="W34" s="13"/>
    </row>
    <row r="35" spans="1:23" ht="11.25" customHeight="1" x14ac:dyDescent="0.3">
      <c r="A35" s="77"/>
      <c r="B35" s="77"/>
      <c r="C35" s="77"/>
      <c r="D35" s="77"/>
      <c r="E35" s="77"/>
      <c r="F35" s="77"/>
      <c r="G35" s="13" t="s">
        <v>72</v>
      </c>
      <c r="H35" s="13" t="s">
        <v>70</v>
      </c>
      <c r="I35" s="13">
        <f>SUMIF(Mercado_Receita!$T$2:$T$418,"44440B3Energia horáriaNão se aplicaNão se aplicaNão se aplicaNão se aplicaFora ponta",Mercado_Receita!$N$2:$N$418)</f>
        <v>1.038</v>
      </c>
      <c r="J35" s="13">
        <f>SUMIF(Mercado_Receita!$T$2:$T$418,"44470B3Energia horáriaNão se aplicaNão se aplicaNão se aplicaNão se aplicaFora ponta",Mercado_Receita!$N$2:$N$418)</f>
        <v>0.97599999999999998</v>
      </c>
      <c r="K35" s="13">
        <f>SUMIF(Mercado_Receita!$T$2:$T$418,"44501B3Energia horáriaNão se aplicaNão se aplicaNão se aplicaNão se aplicaFora ponta",Mercado_Receita!$N$2:$N$418)</f>
        <v>0.91500000000000004</v>
      </c>
      <c r="L35" s="13">
        <f>SUMIF(Mercado_Receita!$T$2:$T$418,"44531B3Energia horáriaNão se aplicaNão se aplicaNão se aplicaNão se aplicaFora ponta",Mercado_Receita!$N$2:$N$418)</f>
        <v>0.84399999999999997</v>
      </c>
      <c r="M35" s="13">
        <f>SUMIF(Mercado_Receita!$T$2:$T$418,"44562B3Energia horáriaNão se aplicaNão se aplicaNão se aplicaNão se aplicaFora ponta",Mercado_Receita!$N$2:$N$418)</f>
        <v>1.236</v>
      </c>
      <c r="N35" s="13">
        <f>SUMIF(Mercado_Receita!$T$2:$T$418,"44593B3Energia horáriaNão se aplicaNão se aplicaNão se aplicaNão se aplicaFora ponta",Mercado_Receita!$N$2:$N$418)</f>
        <v>1.349</v>
      </c>
      <c r="O35" s="13">
        <f>SUMIF(Mercado_Receita!$T$2:$T$418,"44621B3Energia horáriaNão se aplicaNão se aplicaNão se aplicaNão se aplicaFora ponta",Mercado_Receita!$N$2:$N$418)</f>
        <v>0.12</v>
      </c>
      <c r="P35" s="13">
        <f>SUMIF(Mercado_Receita!$T$2:$T$418,"44652B3Energia horáriaNão se aplicaNão se aplicaNão se aplicaNão se aplicaFora ponta",Mercado_Receita!$N$2:$N$418)</f>
        <v>0</v>
      </c>
      <c r="Q35" s="13">
        <f>SUMIF(Mercado_Receita!$T$2:$T$418,"44682B3Energia horáriaNão se aplicaNão se aplicaNão se aplicaNão se aplicaFora ponta",Mercado_Receita!$N$2:$N$418)</f>
        <v>0</v>
      </c>
      <c r="R35" s="13">
        <f>SUMIF(Mercado_Receita!$T$2:$T$418,"44713B3Energia horáriaNão se aplicaNão se aplicaNão se aplicaNão se aplicaFora ponta",Mercado_Receita!$N$2:$N$418)</f>
        <v>0</v>
      </c>
      <c r="S35" s="13">
        <f>SUMIF(Mercado_Receita!$T$2:$T$418,"44743B3Energia horáriaNão se aplicaNão se aplicaNão se aplicaNão se aplicaFora ponta",Mercado_Receita!$N$2:$N$418)</f>
        <v>0</v>
      </c>
      <c r="T35" s="13">
        <f>SUMIF(Mercado_Receita!$T$2:$T$418,"44774B3Energia horáriaNão se aplicaNão se aplicaNão se aplicaNão se aplicaFora ponta",Mercado_Receita!$N$2:$N$418)</f>
        <v>0</v>
      </c>
      <c r="U35" s="13">
        <f t="shared" si="0"/>
        <v>6.4780000000000006</v>
      </c>
      <c r="V35" s="13"/>
      <c r="W35" s="13"/>
    </row>
    <row r="36" spans="1:23" ht="11.25" customHeight="1" x14ac:dyDescent="0.3">
      <c r="A36" s="77"/>
      <c r="B36" s="12" t="s">
        <v>73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74</v>
      </c>
      <c r="H36" s="13" t="s">
        <v>70</v>
      </c>
      <c r="I36" s="13">
        <f>SUMIF(Mercado_Receita!$T$2:$T$418,"44440B3Energia convencionalNão se aplicaNão se aplicaNão se aplicaNão se aplicaNão se aplica",Mercado_Receita!$N$2:$N$418)</f>
        <v>226.29900000000001</v>
      </c>
      <c r="J36" s="13">
        <f>SUMIF(Mercado_Receita!$T$2:$T$418,"44470B3Energia convencionalNão se aplicaNão se aplicaNão se aplicaNão se aplicaNão se aplica",Mercado_Receita!$N$2:$N$418)</f>
        <v>230.31500000000003</v>
      </c>
      <c r="K36" s="13">
        <f>SUMIF(Mercado_Receita!$T$2:$T$418,"44501B3Energia convencionalNão se aplicaNão se aplicaNão se aplicaNão se aplicaNão se aplica",Mercado_Receita!$N$2:$N$418)</f>
        <v>225.62100000000001</v>
      </c>
      <c r="L36" s="13">
        <f>SUMIF(Mercado_Receita!$T$2:$T$418,"44531B3Energia convencionalNão se aplicaNão se aplicaNão se aplicaNão se aplicaNão se aplica",Mercado_Receita!$N$2:$N$418)</f>
        <v>224.42199999999997</v>
      </c>
      <c r="M36" s="13">
        <f>SUMIF(Mercado_Receita!$T$2:$T$418,"44562B3Energia convencionalNão se aplicaNão se aplicaNão se aplicaNão se aplicaNão se aplica",Mercado_Receita!$N$2:$N$418)</f>
        <v>250.41200000000001</v>
      </c>
      <c r="N36" s="13">
        <f>SUMIF(Mercado_Receita!$T$2:$T$418,"44593B3Energia convencionalNão se aplicaNão se aplicaNão se aplicaNão se aplicaNão se aplica",Mercado_Receita!$N$2:$N$418)</f>
        <v>259.10300000000001</v>
      </c>
      <c r="O36" s="13">
        <f>SUMIF(Mercado_Receita!$T$2:$T$418,"44621B3Energia convencionalNão se aplicaNão se aplicaNão se aplicaNão se aplicaNão se aplica",Mercado_Receita!$N$2:$N$418)</f>
        <v>252.02600000000001</v>
      </c>
      <c r="P36" s="13">
        <f>SUMIF(Mercado_Receita!$T$2:$T$418,"44652B3Energia convencionalNão se aplicaNão se aplicaNão se aplicaNão se aplicaNão se aplica",Mercado_Receita!$N$2:$N$418)</f>
        <v>227.054</v>
      </c>
      <c r="Q36" s="13">
        <f>SUMIF(Mercado_Receita!$T$2:$T$418,"44682B3Energia convencionalNão se aplicaNão se aplicaNão se aplicaNão se aplicaNão se aplica",Mercado_Receita!$N$2:$N$418)</f>
        <v>215.434</v>
      </c>
      <c r="R36" s="13">
        <f>SUMIF(Mercado_Receita!$T$2:$T$418,"44713B3Energia convencionalNão se aplicaNão se aplicaNão se aplicaNão se aplicaNão se aplica",Mercado_Receita!$N$2:$N$418)</f>
        <v>210.09200000000001</v>
      </c>
      <c r="S36" s="13">
        <f>SUMIF(Mercado_Receita!$T$2:$T$418,"44743B3Energia convencionalNão se aplicaNão se aplicaNão se aplicaNão se aplicaNão se aplica",Mercado_Receita!$N$2:$N$418)</f>
        <v>187.43299999999999</v>
      </c>
      <c r="T36" s="13">
        <f>SUMIF(Mercado_Receita!$T$2:$T$418,"44774B3Energia convencionalNão se aplicaNão se aplicaNão se aplicaNão se aplicaNão se aplica",Mercado_Receita!$N$2:$N$418)</f>
        <v>209.208</v>
      </c>
      <c r="U36" s="13">
        <f t="shared" si="0"/>
        <v>2717.4190000000003</v>
      </c>
      <c r="V36" s="13"/>
      <c r="W36" s="13"/>
    </row>
    <row r="37" spans="1:23" ht="11.25" customHeight="1" x14ac:dyDescent="0.3">
      <c r="A37" s="77"/>
      <c r="B37" s="12" t="s">
        <v>84</v>
      </c>
      <c r="C37" s="12" t="s">
        <v>25</v>
      </c>
      <c r="D37" s="12" t="s">
        <v>25</v>
      </c>
      <c r="E37" s="12" t="s">
        <v>25</v>
      </c>
      <c r="F37" s="12" t="s">
        <v>25</v>
      </c>
      <c r="G37" s="13" t="s">
        <v>74</v>
      </c>
      <c r="H37" s="13" t="s">
        <v>70</v>
      </c>
      <c r="I37" s="13">
        <f>SUMIF(Mercado_Receita!$T$2:$T$418,"44440B3Energia convencional pré-pagamentoNão se aplicaNão se aplicaNão se aplicaNão se aplicaNão se aplica",Mercado_Receita!$N$2:$N$418)</f>
        <v>0</v>
      </c>
      <c r="J37" s="13">
        <f>SUMIF(Mercado_Receita!$T$2:$T$418,"44470B3Energia convencional pré-pagamentoNão se aplicaNão se aplicaNão se aplicaNão se aplicaNão se aplica",Mercado_Receita!$N$2:$N$418)</f>
        <v>0</v>
      </c>
      <c r="K37" s="13">
        <f>SUMIF(Mercado_Receita!$T$2:$T$418,"44501B3Energia convencional pré-pagamentoNão se aplicaNão se aplicaNão se aplicaNão se aplicaNão se aplica",Mercado_Receita!$N$2:$N$418)</f>
        <v>0</v>
      </c>
      <c r="L37" s="13">
        <f>SUMIF(Mercado_Receita!$T$2:$T$418,"44531B3Energia convencional pré-pagamentoNão se aplicaNão se aplicaNão se aplicaNão se aplicaNão se aplica",Mercado_Receita!$N$2:$N$418)</f>
        <v>0</v>
      </c>
      <c r="M37" s="13">
        <f>SUMIF(Mercado_Receita!$T$2:$T$418,"44562B3Energia convencional pré-pagamentoNão se aplicaNão se aplicaNão se aplicaNão se aplicaNão se aplica",Mercado_Receita!$N$2:$N$418)</f>
        <v>0</v>
      </c>
      <c r="N37" s="13">
        <f>SUMIF(Mercado_Receita!$T$2:$T$418,"44593B3Energia convencional pré-pagamentoNão se aplicaNão se aplicaNão se aplicaNão se aplicaNão se aplica",Mercado_Receita!$N$2:$N$418)</f>
        <v>0</v>
      </c>
      <c r="O37" s="13">
        <f>SUMIF(Mercado_Receita!$T$2:$T$418,"44621B3Energia convencional pré-pagamentoNão se aplicaNão se aplicaNão se aplicaNão se aplicaNão se aplica",Mercado_Receita!$N$2:$N$418)</f>
        <v>0</v>
      </c>
      <c r="P37" s="13">
        <f>SUMIF(Mercado_Receita!$T$2:$T$418,"44652B3Energia convencional pré-pagamentoNão se aplicaNão se aplicaNão se aplicaNão se aplicaNão se aplica",Mercado_Receita!$N$2:$N$418)</f>
        <v>0</v>
      </c>
      <c r="Q37" s="13">
        <f>SUMIF(Mercado_Receita!$T$2:$T$418,"44682B3Energia convencional pré-pagamentoNão se aplicaNão se aplicaNão se aplicaNão se aplicaNão se aplica",Mercado_Receita!$N$2:$N$418)</f>
        <v>0</v>
      </c>
      <c r="R37" s="13">
        <f>SUMIF(Mercado_Receita!$T$2:$T$418,"44713B3Energia convencional pré-pagamentoNão se aplicaNão se aplicaNão se aplicaNão se aplicaNão se aplica",Mercado_Receita!$N$2:$N$418)</f>
        <v>0</v>
      </c>
      <c r="S37" s="13">
        <f>SUMIF(Mercado_Receita!$T$2:$T$418,"44743B3Energia convencional pré-pagamentoNão se aplicaNão se aplicaNão se aplicaNão se aplicaNão se aplica",Mercado_Receita!$N$2:$N$418)</f>
        <v>0</v>
      </c>
      <c r="T37" s="13">
        <f>SUMIF(Mercado_Receita!$T$2:$T$418,"44774B3Energia convencional pré-pagamentoNão se aplicaNão se aplicaNão se aplicaNão se aplicaNão se aplica",Mercado_Receita!$N$2:$N$418)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76" t="s">
        <v>46</v>
      </c>
      <c r="B38" s="76" t="s">
        <v>73</v>
      </c>
      <c r="C38" s="76" t="s">
        <v>47</v>
      </c>
      <c r="D38" s="12" t="s">
        <v>48</v>
      </c>
      <c r="E38" s="12" t="s">
        <v>25</v>
      </c>
      <c r="F38" s="12" t="s">
        <v>25</v>
      </c>
      <c r="G38" s="13" t="s">
        <v>74</v>
      </c>
      <c r="H38" s="13" t="s">
        <v>70</v>
      </c>
      <c r="I38" s="13">
        <f>SUMIF(Mercado_Receita!$T$2:$T$418,"44440B4Energia convencionalIluminação públicaIluminação pública – B4aNão se aplicaNão se aplicaNão se aplica",Mercado_Receita!$N$2:$N$418)</f>
        <v>191.27699999999999</v>
      </c>
      <c r="J38" s="13">
        <f>SUMIF(Mercado_Receita!$T$2:$T$418,"44470B4Energia convencionalIluminação públicaIluminação pública – B4aNão se aplicaNão se aplicaNão se aplica",Mercado_Receita!$N$2:$N$418)</f>
        <v>191.27699999999999</v>
      </c>
      <c r="K38" s="13">
        <f>SUMIF(Mercado_Receita!$T$2:$T$418,"44501B4Energia convencionalIluminação públicaIluminação pública – B4aNão se aplicaNão se aplicaNão se aplica",Mercado_Receita!$N$2:$N$418)</f>
        <v>191.27699999999999</v>
      </c>
      <c r="L38" s="13">
        <f>SUMIF(Mercado_Receita!$T$2:$T$418,"44531B4Energia convencionalIluminação públicaIluminação pública – B4aNão se aplicaNão se aplicaNão se aplica",Mercado_Receita!$N$2:$N$418)</f>
        <v>191.27699999999999</v>
      </c>
      <c r="M38" s="13">
        <f>SUMIF(Mercado_Receita!$T$2:$T$418,"44562B4Energia convencionalIluminação públicaIluminação pública – B4aNão se aplicaNão se aplicaNão se aplica",Mercado_Receita!$N$2:$N$418)</f>
        <v>191.27699999999999</v>
      </c>
      <c r="N38" s="13">
        <f>SUMIF(Mercado_Receita!$T$2:$T$418,"44593B4Energia convencionalIluminação públicaIluminação pública – B4aNão se aplicaNão se aplicaNão se aplica",Mercado_Receita!$N$2:$N$418)</f>
        <v>191.27699999999999</v>
      </c>
      <c r="O38" s="13">
        <f>SUMIF(Mercado_Receita!$T$2:$T$418,"44621B4Energia convencionalIluminação públicaIluminação pública – B4aNão se aplicaNão se aplicaNão se aplica",Mercado_Receita!$N$2:$N$418)</f>
        <v>191.27699999999999</v>
      </c>
      <c r="P38" s="13">
        <f>SUMIF(Mercado_Receita!$T$2:$T$418,"44652B4Energia convencionalIluminação públicaIluminação pública – B4aNão se aplicaNão se aplicaNão se aplica",Mercado_Receita!$N$2:$N$418)</f>
        <v>191.27699999999999</v>
      </c>
      <c r="Q38" s="13">
        <f>SUMIF(Mercado_Receita!$T$2:$T$418,"44682B4Energia convencionalIluminação públicaIluminação pública – B4aNão se aplicaNão se aplicaNão se aplica",Mercado_Receita!$N$2:$N$418)</f>
        <v>191.27699999999999</v>
      </c>
      <c r="R38" s="13">
        <f>SUMIF(Mercado_Receita!$T$2:$T$418,"44713B4Energia convencionalIluminação públicaIluminação pública – B4aNão se aplicaNão se aplicaNão se aplica",Mercado_Receita!$N$2:$N$418)</f>
        <v>235.31200000000001</v>
      </c>
      <c r="S38" s="13">
        <f>SUMIF(Mercado_Receita!$T$2:$T$418,"44743B4Energia convencionalIluminação públicaIluminação pública – B4aNão se aplicaNão se aplicaNão se aplica",Mercado_Receita!$N$2:$N$418)</f>
        <v>262.262</v>
      </c>
      <c r="T38" s="13">
        <f>SUMIF(Mercado_Receita!$T$2:$T$418,"44774B4Energia convencionalIluminação públicaIluminação pública – B4aNão se aplicaNão se aplicaNão se aplica",Mercado_Receita!$N$2:$N$418)</f>
        <v>276.28800000000001</v>
      </c>
      <c r="U38" s="13">
        <f t="shared" si="0"/>
        <v>2495.3550000000005</v>
      </c>
      <c r="V38" s="13"/>
      <c r="W38" s="13"/>
    </row>
    <row r="39" spans="1:23" ht="11.25" customHeight="1" x14ac:dyDescent="0.3">
      <c r="A39" s="77"/>
      <c r="B39" s="77"/>
      <c r="C39" s="77"/>
      <c r="D39" s="13" t="s">
        <v>49</v>
      </c>
      <c r="E39" s="13" t="s">
        <v>25</v>
      </c>
      <c r="F39" s="13" t="s">
        <v>25</v>
      </c>
      <c r="G39" s="13" t="s">
        <v>74</v>
      </c>
      <c r="H39" s="13" t="s">
        <v>70</v>
      </c>
      <c r="I39" s="13">
        <f>SUMIF(Mercado_Receita!$T$2:$T$418,"44440B4Energia convencionalIluminação públicaIluminação pública – B4bNão se aplicaNão se aplicaNão se aplica",Mercado_Receita!$N$2:$N$418)</f>
        <v>128.18199999999999</v>
      </c>
      <c r="J39" s="13">
        <f>SUMIF(Mercado_Receita!$T$2:$T$418,"44470B4Energia convencionalIluminação públicaIluminação pública – B4bNão se aplicaNão se aplicaNão se aplica",Mercado_Receita!$N$2:$N$418)</f>
        <v>130.39699999999999</v>
      </c>
      <c r="K39" s="13">
        <f>SUMIF(Mercado_Receita!$T$2:$T$418,"44501B4Energia convencionalIluminação públicaIluminação pública – B4bNão se aplicaNão se aplicaNão se aplica",Mercado_Receita!$N$2:$N$418)</f>
        <v>130.57300000000001</v>
      </c>
      <c r="L39" s="13">
        <f>SUMIF(Mercado_Receita!$T$2:$T$418,"44531B4Energia convencionalIluminação públicaIluminação pública – B4bNão se aplicaNão se aplicaNão se aplica",Mercado_Receita!$N$2:$N$418)</f>
        <v>130.57300000000001</v>
      </c>
      <c r="M39" s="13">
        <f>SUMIF(Mercado_Receita!$T$2:$T$418,"44562B4Energia convencionalIluminação públicaIluminação pública – B4bNão se aplicaNão se aplicaNão se aplica",Mercado_Receita!$N$2:$N$418)</f>
        <v>130.57300000000001</v>
      </c>
      <c r="N39" s="13">
        <f>SUMIF(Mercado_Receita!$T$2:$T$418,"44593B4Energia convencionalIluminação públicaIluminação pública – B4bNão se aplicaNão se aplicaNão se aplica",Mercado_Receita!$N$2:$N$418)</f>
        <v>130.57300000000001</v>
      </c>
      <c r="O39" s="13">
        <f>SUMIF(Mercado_Receita!$T$2:$T$418,"44621B4Energia convencionalIluminação públicaIluminação pública – B4bNão se aplicaNão se aplicaNão se aplica",Mercado_Receita!$N$2:$N$418)</f>
        <v>130.57300000000001</v>
      </c>
      <c r="P39" s="13">
        <f>SUMIF(Mercado_Receita!$T$2:$T$418,"44652B4Energia convencionalIluminação públicaIluminação pública – B4bNão se aplicaNão se aplicaNão se aplica",Mercado_Receita!$N$2:$N$418)</f>
        <v>130.57300000000001</v>
      </c>
      <c r="Q39" s="13">
        <f>SUMIF(Mercado_Receita!$T$2:$T$418,"44682B4Energia convencionalIluminação públicaIluminação pública – B4bNão se aplicaNão se aplicaNão se aplica",Mercado_Receita!$N$2:$N$418)</f>
        <v>130.57300000000001</v>
      </c>
      <c r="R39" s="13">
        <f>SUMIF(Mercado_Receita!$T$2:$T$418,"44713B4Energia convencionalIluminação públicaIluminação pública – B4bNão se aplicaNão se aplicaNão se aplica",Mercado_Receita!$N$2:$N$418)</f>
        <v>133.34200000000001</v>
      </c>
      <c r="S39" s="13">
        <f>SUMIF(Mercado_Receita!$T$2:$T$418,"44743B4Energia convencionalIluminação públicaIluminação pública – B4bNão se aplicaNão se aplicaNão se aplica",Mercado_Receita!$N$2:$N$418)</f>
        <v>137.452</v>
      </c>
      <c r="T39" s="13">
        <f>SUMIF(Mercado_Receita!$T$2:$T$418,"44774B4Energia convencionalIluminação públicaIluminação pública – B4bNão se aplicaNão se aplicaNão se aplica",Mercado_Receita!$N$2:$N$418)</f>
        <v>123.929</v>
      </c>
      <c r="U39" s="13">
        <f t="shared" si="0"/>
        <v>1567.3130000000001</v>
      </c>
      <c r="V39" s="13"/>
      <c r="W39" s="13"/>
    </row>
    <row r="40" spans="1:23" ht="11.25" customHeight="1" x14ac:dyDescent="0.3">
      <c r="A40" s="78" t="s">
        <v>498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13"/>
      <c r="W40" s="13"/>
    </row>
  </sheetData>
  <mergeCells count="44">
    <mergeCell ref="A38:A39"/>
    <mergeCell ref="B38:B39"/>
    <mergeCell ref="C38:C39"/>
    <mergeCell ref="A40:U40"/>
    <mergeCell ref="C30:C32"/>
    <mergeCell ref="B30:B32"/>
    <mergeCell ref="A18:A32"/>
    <mergeCell ref="F33:F35"/>
    <mergeCell ref="E33:E35"/>
    <mergeCell ref="D33:D35"/>
    <mergeCell ref="C33:C35"/>
    <mergeCell ref="B33:B35"/>
    <mergeCell ref="A33:A37"/>
    <mergeCell ref="F22:F24"/>
    <mergeCell ref="E22:E24"/>
    <mergeCell ref="D22:D24"/>
    <mergeCell ref="C22:C24"/>
    <mergeCell ref="B22:B24"/>
    <mergeCell ref="F26:F28"/>
    <mergeCell ref="E26:E28"/>
    <mergeCell ref="D26:D28"/>
    <mergeCell ref="C26:C28"/>
    <mergeCell ref="B26:B28"/>
    <mergeCell ref="C13:C17"/>
    <mergeCell ref="B13:B17"/>
    <mergeCell ref="A5:A17"/>
    <mergeCell ref="F18:F20"/>
    <mergeCell ref="E18:E20"/>
    <mergeCell ref="D18:D20"/>
    <mergeCell ref="C18:C20"/>
    <mergeCell ref="B18:B20"/>
    <mergeCell ref="F5:F7"/>
    <mergeCell ref="E5:E7"/>
    <mergeCell ref="D5:D7"/>
    <mergeCell ref="C5:C7"/>
    <mergeCell ref="B5:B7"/>
    <mergeCell ref="C8:C12"/>
    <mergeCell ref="B8:B12"/>
    <mergeCell ref="A2:A4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83A7-F7C7-465B-9BE4-898E9D192C85}">
  <dimension ref="A1:AD200"/>
  <sheetViews>
    <sheetView showGridLines="0" topLeftCell="A37" workbookViewId="0">
      <selection activeCell="H49" sqref="H49"/>
    </sheetView>
  </sheetViews>
  <sheetFormatPr defaultRowHeight="12" customHeight="1" x14ac:dyDescent="0.2"/>
  <cols>
    <col min="1" max="1" width="9.88671875" style="14" bestFit="1" customWidth="1"/>
    <col min="2" max="2" width="13.88671875" style="14" bestFit="1" customWidth="1"/>
    <col min="3" max="3" width="18.109375" style="14" bestFit="1" customWidth="1"/>
    <col min="4" max="4" width="14" style="14" bestFit="1" customWidth="1"/>
    <col min="5" max="5" width="13.88671875" style="14" bestFit="1" customWidth="1"/>
    <col min="6" max="6" width="3.77734375" style="14" bestFit="1" customWidth="1"/>
    <col min="7" max="7" width="8.88671875" style="14"/>
    <col min="8" max="8" width="10.77734375" style="14" bestFit="1" customWidth="1"/>
    <col min="9" max="11" width="8.88671875" style="14"/>
    <col min="12" max="12" width="31.44140625" style="14" bestFit="1" customWidth="1"/>
    <col min="13" max="13" width="9.109375" style="14" bestFit="1" customWidth="1"/>
    <col min="14" max="14" width="33.21875" style="14" bestFit="1" customWidth="1"/>
    <col min="15" max="15" width="30.77734375" style="14" customWidth="1"/>
    <col min="16" max="16" width="12" style="14" bestFit="1" customWidth="1"/>
    <col min="17" max="17" width="8.44140625" style="14" bestFit="1" customWidth="1"/>
    <col min="18" max="18" width="9.109375" style="14" bestFit="1" customWidth="1"/>
    <col min="19" max="19" width="11.88671875" style="14" bestFit="1" customWidth="1"/>
    <col min="20" max="20" width="14.33203125" style="14" bestFit="1" customWidth="1"/>
    <col min="21" max="21" width="10.21875" style="14" bestFit="1" customWidth="1"/>
    <col min="22" max="22" width="12.5546875" style="14" bestFit="1" customWidth="1"/>
    <col min="23" max="23" width="5" style="14" bestFit="1" customWidth="1"/>
    <col min="24" max="24" width="51.88671875" style="14" bestFit="1" customWidth="1"/>
    <col min="25" max="26" width="5" style="14" bestFit="1" customWidth="1"/>
    <col min="27" max="27" width="2" style="14" bestFit="1" customWidth="1"/>
    <col min="28" max="16384" width="8.88671875" style="14"/>
  </cols>
  <sheetData>
    <row r="1" spans="1:30" ht="12" customHeight="1" x14ac:dyDescent="0.2">
      <c r="A1" s="10" t="s">
        <v>538</v>
      </c>
      <c r="B1" s="10" t="s">
        <v>539</v>
      </c>
      <c r="C1" s="10" t="s">
        <v>540</v>
      </c>
      <c r="D1" s="10" t="s">
        <v>541</v>
      </c>
      <c r="E1" s="10" t="s">
        <v>542</v>
      </c>
      <c r="F1" s="10" t="s">
        <v>543</v>
      </c>
      <c r="G1" s="7"/>
      <c r="H1" s="7"/>
      <c r="I1" s="7"/>
      <c r="J1" s="7"/>
      <c r="K1" s="7"/>
      <c r="L1" s="89" t="s">
        <v>544</v>
      </c>
      <c r="M1" s="89"/>
      <c r="N1" s="7"/>
      <c r="O1" s="84" t="s">
        <v>631</v>
      </c>
      <c r="P1" s="85"/>
      <c r="Q1" s="85"/>
      <c r="R1" s="85"/>
      <c r="S1" s="85"/>
      <c r="T1" s="85"/>
      <c r="U1" s="85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0" t="s">
        <v>499</v>
      </c>
      <c r="B2" s="80" t="s">
        <v>500</v>
      </c>
      <c r="C2" s="16" t="s">
        <v>585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3" t="s">
        <v>545</v>
      </c>
      <c r="M2" s="62">
        <v>0.1018</v>
      </c>
      <c r="N2" s="15"/>
      <c r="O2" s="28" t="s">
        <v>632</v>
      </c>
      <c r="P2" s="28" t="s">
        <v>633</v>
      </c>
      <c r="Q2" s="28" t="s">
        <v>634</v>
      </c>
      <c r="R2" s="28" t="s">
        <v>37</v>
      </c>
      <c r="S2" s="28" t="s">
        <v>635</v>
      </c>
      <c r="T2" s="28" t="s">
        <v>80</v>
      </c>
      <c r="U2" s="28"/>
      <c r="V2" s="15"/>
      <c r="W2" s="15"/>
      <c r="X2" s="23" t="s">
        <v>598</v>
      </c>
      <c r="Y2" s="15"/>
      <c r="Z2" s="15"/>
      <c r="AA2" s="15" t="s">
        <v>643</v>
      </c>
      <c r="AB2" s="15"/>
      <c r="AC2" s="15"/>
      <c r="AD2" s="15"/>
    </row>
    <row r="3" spans="1:30" ht="12" customHeight="1" x14ac:dyDescent="0.2">
      <c r="A3" s="90"/>
      <c r="B3" s="90"/>
      <c r="C3" s="16" t="s">
        <v>501</v>
      </c>
      <c r="D3" s="13">
        <v>118146.05586998828</v>
      </c>
      <c r="E3" s="13">
        <v>-1345.2444493490764</v>
      </c>
      <c r="F3" s="13">
        <v>0</v>
      </c>
      <c r="G3" s="15"/>
      <c r="H3" s="15"/>
      <c r="I3" s="15"/>
      <c r="J3" s="15"/>
      <c r="K3" s="15"/>
      <c r="L3" s="23" t="s">
        <v>546</v>
      </c>
      <c r="M3" s="62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636</v>
      </c>
      <c r="V3" s="15"/>
      <c r="W3" s="15"/>
      <c r="X3" s="23" t="s">
        <v>599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90"/>
      <c r="B4" s="90"/>
      <c r="C4" s="16" t="s">
        <v>502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547</v>
      </c>
      <c r="M4" s="62">
        <v>8.5874515481677571E-2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79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0"/>
      <c r="B5" s="90"/>
      <c r="C5" s="16" t="s">
        <v>503</v>
      </c>
      <c r="D5" s="13">
        <v>0</v>
      </c>
      <c r="E5" s="13"/>
      <c r="F5" s="13"/>
      <c r="G5" s="15"/>
      <c r="H5" s="15"/>
      <c r="I5" s="15"/>
      <c r="J5" s="15"/>
      <c r="K5" s="15"/>
      <c r="L5" s="23" t="s">
        <v>548</v>
      </c>
      <c r="M5" s="62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0"/>
      <c r="B6" s="90"/>
      <c r="C6" s="16" t="s">
        <v>504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549</v>
      </c>
      <c r="M6" s="62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0"/>
      <c r="B7" s="90"/>
      <c r="C7" s="16" t="s">
        <v>505</v>
      </c>
      <c r="D7" s="13">
        <v>4445152.1190699972</v>
      </c>
      <c r="E7" s="13">
        <v>-38909.608864024849</v>
      </c>
      <c r="F7" s="13">
        <v>0</v>
      </c>
      <c r="G7" s="15"/>
      <c r="H7" s="15"/>
      <c r="I7" s="15"/>
      <c r="J7" s="15"/>
      <c r="K7" s="15"/>
      <c r="L7" s="23" t="s">
        <v>550</v>
      </c>
      <c r="M7" s="23">
        <f>M8+M9+M10+M11</f>
        <v>8269.7874997100062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0"/>
      <c r="B8" s="90"/>
      <c r="C8" s="16" t="s">
        <v>506</v>
      </c>
      <c r="D8" s="13">
        <v>723391.08677999966</v>
      </c>
      <c r="E8" s="13">
        <v>-6436.7217552921993</v>
      </c>
      <c r="F8" s="13">
        <v>0</v>
      </c>
      <c r="G8" s="15"/>
      <c r="H8" s="15"/>
      <c r="I8" s="15"/>
      <c r="J8" s="15"/>
      <c r="K8" s="15"/>
      <c r="L8" s="63" t="s">
        <v>551</v>
      </c>
      <c r="M8" s="23">
        <v>8269.7874997100062</v>
      </c>
      <c r="N8" s="15"/>
      <c r="O8" s="23" t="s">
        <v>584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0"/>
      <c r="B9" s="90"/>
      <c r="C9" s="16" t="s">
        <v>507</v>
      </c>
      <c r="D9" s="13"/>
      <c r="E9" s="13"/>
      <c r="F9" s="13"/>
      <c r="G9" s="15"/>
      <c r="H9" s="15"/>
      <c r="I9" s="15"/>
      <c r="J9" s="15"/>
      <c r="K9" s="15"/>
      <c r="L9" s="64" t="s">
        <v>552</v>
      </c>
      <c r="M9" s="23">
        <v>0</v>
      </c>
      <c r="N9" s="15"/>
      <c r="O9" s="23" t="s">
        <v>589</v>
      </c>
      <c r="P9" s="29">
        <f>SUM(Mercado_Receita!$J$2:$J$418)</f>
        <v>31103</v>
      </c>
      <c r="Q9" s="29">
        <v>31103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0"/>
      <c r="B10" s="81"/>
      <c r="C10" s="16" t="s">
        <v>508</v>
      </c>
      <c r="D10" s="13">
        <f>SUM(D$2:D9)</f>
        <v>5286689.2617199849</v>
      </c>
      <c r="E10" s="13">
        <f>SUM(E$2:E9)</f>
        <v>-46691.575068666127</v>
      </c>
      <c r="F10" s="13">
        <f>SUM(F$2:F9)</f>
        <v>0</v>
      </c>
      <c r="G10" s="15"/>
      <c r="H10" s="15"/>
      <c r="I10" s="15"/>
      <c r="J10" s="15"/>
      <c r="K10" s="15"/>
      <c r="L10" s="63" t="s">
        <v>553</v>
      </c>
      <c r="M10" s="23">
        <v>0</v>
      </c>
      <c r="N10" s="15"/>
      <c r="O10" s="23" t="s">
        <v>590</v>
      </c>
      <c r="P10" s="29">
        <f>SUM(Mercado_Receita!$L$2:$L$418)</f>
        <v>51699.664999999994</v>
      </c>
      <c r="Q10" s="29">
        <v>51699.665000000001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0"/>
      <c r="B11" s="80" t="s">
        <v>509</v>
      </c>
      <c r="C11" s="16" t="s">
        <v>510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3" t="s">
        <v>554</v>
      </c>
      <c r="M11" s="23">
        <v>0</v>
      </c>
      <c r="N11" s="15"/>
      <c r="O11" s="23" t="s">
        <v>591</v>
      </c>
      <c r="P11" s="29">
        <f>SUM(Mercado_Receita!$N$2:$N$418)</f>
        <v>51699.664999999994</v>
      </c>
      <c r="Q11" s="29">
        <v>51699.665000000001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0"/>
      <c r="B12" s="90"/>
      <c r="C12" s="16" t="s">
        <v>511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555</v>
      </c>
      <c r="M12" s="23">
        <v>59969.45249970998</v>
      </c>
      <c r="N12" s="15"/>
      <c r="O12" s="23" t="s">
        <v>592</v>
      </c>
      <c r="P12" s="29">
        <f>SUMIF('MERCADO TUSD'!$H$2:$H$48,"kW",'MERCADO TUSD'!$U$2:$U$48)</f>
        <v>31103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0"/>
      <c r="B13" s="90"/>
      <c r="C13" s="16" t="s">
        <v>512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3" t="s">
        <v>556</v>
      </c>
      <c r="M13" s="23">
        <v>875.47703243856063</v>
      </c>
      <c r="N13" s="15"/>
      <c r="O13" s="23" t="s">
        <v>593</v>
      </c>
      <c r="P13" s="29">
        <f>SUMIF('MERCADO TUSD'!$H$2:$H$48,"MWh",'MERCADO TUSD'!$U$2:$U$48)</f>
        <v>51699.665000000008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0"/>
      <c r="B14" s="90"/>
      <c r="C14" s="16" t="s">
        <v>513</v>
      </c>
      <c r="D14" s="13"/>
      <c r="E14" s="13"/>
      <c r="F14" s="13"/>
      <c r="G14" s="15"/>
      <c r="H14" s="15"/>
      <c r="I14" s="15"/>
      <c r="J14" s="15"/>
      <c r="K14" s="15"/>
      <c r="L14" s="23" t="s">
        <v>557</v>
      </c>
      <c r="M14" s="23">
        <v>163.72360537950539</v>
      </c>
      <c r="N14" s="15"/>
      <c r="O14" s="23" t="s">
        <v>594</v>
      </c>
      <c r="P14" s="29">
        <f>SUMIF('MERCADO TE'!$H$2:$H$39,"MWh",'MERCADO TE'!$U$2:$U$39)</f>
        <v>51699.665000000008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0"/>
      <c r="B15" s="90"/>
      <c r="C15" s="16" t="s">
        <v>514</v>
      </c>
      <c r="D15" s="13">
        <v>7250869.556640001</v>
      </c>
      <c r="E15" s="13">
        <v>-1289202.8707747674</v>
      </c>
      <c r="F15" s="13">
        <v>0</v>
      </c>
      <c r="G15" s="15"/>
      <c r="H15" s="15"/>
      <c r="I15" s="15"/>
      <c r="J15" s="15"/>
      <c r="K15" s="15"/>
      <c r="L15" s="23" t="s">
        <v>558</v>
      </c>
      <c r="M15" s="23">
        <f>M14*M12</f>
        <v>9818414.9758875091</v>
      </c>
      <c r="N15" s="15"/>
      <c r="O15" s="23" t="s">
        <v>595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0"/>
      <c r="B16" s="90"/>
      <c r="C16" s="16" t="s">
        <v>515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559</v>
      </c>
      <c r="M16" s="23">
        <v>-156185.08194216224</v>
      </c>
      <c r="N16" s="15"/>
      <c r="O16" s="23" t="s">
        <v>596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0"/>
      <c r="B17" s="90"/>
      <c r="C17" s="16" t="s">
        <v>516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560</v>
      </c>
      <c r="M17" s="23">
        <v>0</v>
      </c>
      <c r="N17" s="15"/>
      <c r="O17" s="23" t="s">
        <v>597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0"/>
      <c r="B18" s="81"/>
      <c r="C18" s="16" t="s">
        <v>508</v>
      </c>
      <c r="D18" s="13">
        <f>SUM(D$11:D17)</f>
        <v>7250869.556640001</v>
      </c>
      <c r="E18" s="13">
        <f>SUM(E$11:E17)</f>
        <v>-1289202.8707747674</v>
      </c>
      <c r="F18" s="13">
        <f>SUM(F$11:F17)</f>
        <v>0</v>
      </c>
      <c r="G18" s="15"/>
      <c r="H18" s="15"/>
      <c r="I18" s="15"/>
      <c r="J18" s="15"/>
      <c r="K18" s="15"/>
      <c r="L18" s="23" t="s">
        <v>561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0"/>
      <c r="B19" s="80" t="s">
        <v>517</v>
      </c>
      <c r="C19" s="16" t="s">
        <v>518</v>
      </c>
      <c r="D19" s="13">
        <v>29224737.75</v>
      </c>
      <c r="E19" s="13">
        <v>-17867394.383257363</v>
      </c>
      <c r="F19" s="13">
        <v>0</v>
      </c>
      <c r="G19" s="15"/>
      <c r="H19" s="15"/>
      <c r="I19" s="15"/>
      <c r="J19" s="15"/>
      <c r="K19" s="15"/>
      <c r="L19" s="23" t="s">
        <v>562</v>
      </c>
      <c r="M19" s="2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0"/>
      <c r="B20" s="81"/>
      <c r="C20" s="16" t="s">
        <v>508</v>
      </c>
      <c r="D20" s="13">
        <f>SUM(D$19:D19)</f>
        <v>29224737.75</v>
      </c>
      <c r="E20" s="13">
        <f>SUM(E$19:E19)</f>
        <v>-17867394.383257363</v>
      </c>
      <c r="F20" s="13">
        <f>SUM(F$19:F19)</f>
        <v>0</v>
      </c>
      <c r="G20" s="15"/>
      <c r="H20" s="15"/>
      <c r="I20" s="15"/>
      <c r="J20" s="15"/>
      <c r="K20" s="15"/>
      <c r="L20" s="23" t="s">
        <v>563</v>
      </c>
      <c r="M20" s="2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0"/>
      <c r="B21" s="80" t="s">
        <v>519</v>
      </c>
      <c r="C21" s="16" t="s">
        <v>520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23" t="s">
        <v>564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0"/>
      <c r="B22" s="90"/>
      <c r="C22" s="16" t="s">
        <v>521</v>
      </c>
      <c r="D22" s="13"/>
      <c r="E22" s="13"/>
      <c r="F22" s="13"/>
      <c r="G22" s="15"/>
      <c r="H22" s="15"/>
      <c r="I22" s="15"/>
      <c r="J22" s="15"/>
      <c r="K22" s="15"/>
      <c r="L22" s="23" t="s">
        <v>586</v>
      </c>
      <c r="M22" s="2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0"/>
      <c r="B23" s="81"/>
      <c r="C23" s="16" t="s">
        <v>508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23" t="s">
        <v>565</v>
      </c>
      <c r="M23" s="23">
        <v>13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0"/>
      <c r="B24" s="80" t="s">
        <v>522</v>
      </c>
      <c r="C24" s="16" t="s">
        <v>523</v>
      </c>
      <c r="D24" s="13">
        <f>$M$14*$M$8</f>
        <v>1353959.4251748875</v>
      </c>
      <c r="E24" s="13">
        <f>$M$16*$M$8/$M$12</f>
        <v>-21537.922799824173</v>
      </c>
      <c r="F24" s="13">
        <f>$M$17*$M$8/$M$12</f>
        <v>0</v>
      </c>
      <c r="G24" s="15"/>
      <c r="H24" s="15"/>
      <c r="I24" s="15"/>
      <c r="J24" s="15"/>
      <c r="K24" s="15"/>
      <c r="L24" s="23" t="s">
        <v>566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0"/>
      <c r="B25" s="90"/>
      <c r="C25" s="16" t="s">
        <v>524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23" t="s">
        <v>567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0"/>
      <c r="B26" s="90"/>
      <c r="C26" s="16" t="s">
        <v>525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23" t="s">
        <v>568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0"/>
      <c r="B27" s="90"/>
      <c r="C27" s="16" t="s">
        <v>526</v>
      </c>
      <c r="D27" s="13"/>
      <c r="E27" s="13"/>
      <c r="F27" s="13"/>
      <c r="G27" s="15"/>
      <c r="H27" s="15"/>
      <c r="I27" s="15"/>
      <c r="J27" s="15"/>
      <c r="K27" s="15"/>
      <c r="L27" s="23" t="s">
        <v>569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0"/>
      <c r="B28" s="81"/>
      <c r="C28" s="16" t="s">
        <v>508</v>
      </c>
      <c r="D28" s="13">
        <f>SUM(D$24:D27)</f>
        <v>1353959.4251748875</v>
      </c>
      <c r="E28" s="13">
        <f>SUM(E$24:E27)</f>
        <v>-21537.922799824173</v>
      </c>
      <c r="F28" s="13">
        <f>SUM(F$24:F27)</f>
        <v>0</v>
      </c>
      <c r="G28" s="15"/>
      <c r="H28" s="15"/>
      <c r="I28" s="15"/>
      <c r="J28" s="15"/>
      <c r="K28" s="15"/>
      <c r="L28" s="23" t="s">
        <v>570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1"/>
      <c r="B29" s="82" t="s">
        <v>508</v>
      </c>
      <c r="C29" s="83"/>
      <c r="D29" s="13">
        <f>SUMIF(C$2:C28,"SUBTOTAL",D$2:D28)</f>
        <v>43116255.99353487</v>
      </c>
      <c r="E29" s="13">
        <f>SUMIF(C$2:C28,"SUBTOTAL",E$2:E28)</f>
        <v>-19224826.751900621</v>
      </c>
      <c r="F29" s="13">
        <f>SUMIF(C$2:C28,"SUBTOTAL",F$2:F28)</f>
        <v>0</v>
      </c>
      <c r="G29" s="15"/>
      <c r="H29" s="15"/>
      <c r="I29" s="15"/>
      <c r="J29" s="15"/>
      <c r="K29" s="15"/>
      <c r="L29" s="23" t="s">
        <v>571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0" t="s">
        <v>527</v>
      </c>
      <c r="B30" s="80" t="s">
        <v>500</v>
      </c>
      <c r="C30" s="16" t="s">
        <v>502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572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0"/>
      <c r="B31" s="90"/>
      <c r="C31" s="16" t="s">
        <v>528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23" t="s">
        <v>573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0"/>
      <c r="B32" s="90"/>
      <c r="C32" s="16" t="s">
        <v>529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574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0"/>
      <c r="B33" s="90"/>
      <c r="C33" s="16" t="s">
        <v>588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3" t="s">
        <v>575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0"/>
      <c r="B34" s="90"/>
      <c r="C34" s="16" t="s">
        <v>530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576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0"/>
      <c r="B35" s="81"/>
      <c r="C35" s="16" t="s">
        <v>508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23" t="s">
        <v>577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0"/>
      <c r="B36" s="80" t="s">
        <v>531</v>
      </c>
      <c r="C36" s="16" t="s">
        <v>532</v>
      </c>
      <c r="D36" s="13">
        <f>$M$14*($M$12-$M$7)</f>
        <v>8464455.5507126208</v>
      </c>
      <c r="E36" s="13">
        <f>$M$16*($M$12-$M$7)/$M$12</f>
        <v>-134647.15914233806</v>
      </c>
      <c r="F36" s="13">
        <f>$M$17*($M$12-$M$7)/$M$12</f>
        <v>0</v>
      </c>
      <c r="G36" s="15"/>
      <c r="H36" s="15"/>
      <c r="I36" s="15"/>
      <c r="J36" s="15"/>
      <c r="K36" s="15"/>
      <c r="L36" s="23" t="s">
        <v>578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0"/>
      <c r="B37" s="81"/>
      <c r="C37" s="16" t="s">
        <v>508</v>
      </c>
      <c r="D37" s="13">
        <f>SUM(D$36:D36)</f>
        <v>8464455.5507126208</v>
      </c>
      <c r="E37" s="13">
        <f>SUM(E$36:E36)</f>
        <v>-134647.15914233806</v>
      </c>
      <c r="F37" s="13">
        <f>SUM(F$36:F36)</f>
        <v>0</v>
      </c>
      <c r="G37" s="15"/>
      <c r="H37" s="15"/>
      <c r="I37" s="15"/>
      <c r="J37" s="15"/>
      <c r="K37" s="15"/>
      <c r="L37" s="23" t="s">
        <v>579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0"/>
      <c r="B38" s="80" t="s">
        <v>509</v>
      </c>
      <c r="C38" s="16" t="s">
        <v>533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580</v>
      </c>
      <c r="M38" s="23">
        <f>IFERROR(VLOOKUP("Convencional1RuralNão se aplicaRURALB2",Descontos!B1:U88,VLOOKUP("Convencional1RuralNão se aplicaRURALB2",Descontos!B1:U88,20,FALSE)+12,FALSE),100)</f>
        <v>0.06</v>
      </c>
      <c r="N38" s="15" t="s">
        <v>637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0"/>
      <c r="B39" s="90"/>
      <c r="C39" s="16" t="s">
        <v>534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581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654</v>
      </c>
      <c r="P39" s="15" t="s">
        <v>655</v>
      </c>
      <c r="Q39" s="15" t="s">
        <v>656</v>
      </c>
      <c r="R39" s="15" t="s">
        <v>657</v>
      </c>
      <c r="S39" s="15" t="s">
        <v>1</v>
      </c>
      <c r="T39" s="15" t="s">
        <v>658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3">
      <c r="A40" s="90"/>
      <c r="B40" s="90"/>
      <c r="C40" s="16" t="s">
        <v>535</v>
      </c>
      <c r="D40" s="13"/>
      <c r="E40" s="13"/>
      <c r="F40" s="13"/>
      <c r="G40" s="15"/>
      <c r="H40" s="15"/>
      <c r="I40" s="15"/>
      <c r="J40" s="15"/>
      <c r="K40" s="15"/>
      <c r="L40" s="23" t="s">
        <v>582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3">
      <c r="A41" s="90"/>
      <c r="B41" s="81"/>
      <c r="C41" s="16" t="s">
        <v>508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3">
      <c r="A42" s="90"/>
      <c r="B42" s="80" t="s">
        <v>519</v>
      </c>
      <c r="C42" s="16" t="s">
        <v>520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3">
      <c r="A43" s="90"/>
      <c r="B43" s="81"/>
      <c r="C43" s="16" t="s">
        <v>508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3">
      <c r="A44" s="90"/>
      <c r="B44" s="80" t="s">
        <v>522</v>
      </c>
      <c r="C44" s="16" t="s">
        <v>536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3">
      <c r="A45" s="90"/>
      <c r="B45" s="81"/>
      <c r="C45" s="16" t="s">
        <v>508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3">
      <c r="A46" s="81"/>
      <c r="B46" s="82" t="s">
        <v>508</v>
      </c>
      <c r="C46" s="83"/>
      <c r="D46" s="13">
        <f>SUMIF(C$30:C45,"SUBTOTAL",D$30:D45)</f>
        <v>8464455.5507126208</v>
      </c>
      <c r="E46" s="13">
        <f>SUMIF(C$30:C45,"SUBTOTAL",E$30:E45)</f>
        <v>-134647.15914233806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3">
      <c r="A47" s="82" t="s">
        <v>537</v>
      </c>
      <c r="B47" s="88"/>
      <c r="C47" s="83"/>
      <c r="D47" s="13">
        <f>SUMIF(C$2:C46,"SUBTOTAL",D$2:D46)</f>
        <v>51580711.544247493</v>
      </c>
      <c r="E47" s="13">
        <f>SUMIF(C$2:C46,"SUBTOTAL",E$2:E46)</f>
        <v>-19359473.911042958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3">
      <c r="A48" s="86" t="s">
        <v>629</v>
      </c>
      <c r="B48" s="87"/>
      <c r="C48" s="87"/>
      <c r="D48" s="26">
        <f ca="1">'TUSD BE'!$AM$53+'TUSD BE'!$AM$57+'TE BE'!$AB$44</f>
        <v>51580711.544247501</v>
      </c>
      <c r="E48" s="26">
        <f ca="1">'TUSD BF'!$AM$53+'TE BF'!$AB$44</f>
        <v>-19359473.911042958</v>
      </c>
      <c r="F48" s="26">
        <f ca="1">'TUSD CVA'!$AM$53+'TE CVA'!$AB$44</f>
        <v>0</v>
      </c>
      <c r="H48" s="59">
        <f ca="1">D48+E48</f>
        <v>32221237.633204542</v>
      </c>
      <c r="L48" s="58"/>
      <c r="M48" s="23"/>
      <c r="O48" s="33"/>
      <c r="P48" s="33"/>
      <c r="Q48" s="33"/>
      <c r="R48" s="33"/>
      <c r="S48" s="33"/>
      <c r="T48" s="33"/>
    </row>
    <row r="49" spans="1:20" ht="12" customHeight="1" x14ac:dyDescent="0.3">
      <c r="A49" s="86" t="s">
        <v>630</v>
      </c>
      <c r="B49" s="87"/>
      <c r="C49" s="87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H49" s="60">
        <v>32221237.633204535</v>
      </c>
      <c r="L49" s="58"/>
      <c r="M49" s="23"/>
      <c r="O49" s="33"/>
      <c r="P49" s="33"/>
      <c r="Q49" s="33"/>
      <c r="R49" s="33"/>
      <c r="S49" s="33"/>
      <c r="T49" s="33"/>
    </row>
    <row r="50" spans="1:20" ht="12" customHeight="1" x14ac:dyDescent="0.3">
      <c r="L50" s="58"/>
      <c r="M50" s="23"/>
      <c r="O50" s="33"/>
      <c r="P50" s="33"/>
      <c r="Q50" s="33"/>
      <c r="R50" s="33"/>
      <c r="S50" s="33"/>
      <c r="T50" s="33"/>
    </row>
    <row r="51" spans="1:20" ht="12" customHeight="1" x14ac:dyDescent="0.3">
      <c r="L51" s="50" t="s">
        <v>583</v>
      </c>
      <c r="M51" s="55">
        <v>0</v>
      </c>
      <c r="O51" s="33"/>
      <c r="P51" s="33"/>
      <c r="Q51" s="33"/>
      <c r="R51" s="33"/>
      <c r="S51" s="33"/>
      <c r="T51" s="33"/>
    </row>
    <row r="52" spans="1:20" ht="12" customHeight="1" x14ac:dyDescent="0.3">
      <c r="O52" s="33"/>
      <c r="P52" s="33"/>
      <c r="Q52" s="33"/>
      <c r="R52" s="33"/>
      <c r="S52" s="33"/>
      <c r="T52" s="33"/>
    </row>
    <row r="53" spans="1:20" ht="12" customHeight="1" x14ac:dyDescent="0.3">
      <c r="O53" s="33"/>
      <c r="P53" s="33"/>
      <c r="Q53" s="33"/>
      <c r="R53" s="33"/>
      <c r="S53" s="33"/>
      <c r="T53" s="33"/>
    </row>
    <row r="54" spans="1:20" ht="12" customHeight="1" x14ac:dyDescent="0.3">
      <c r="O54" s="33"/>
      <c r="P54" s="33"/>
      <c r="Q54" s="33"/>
      <c r="R54" s="33"/>
      <c r="S54" s="33"/>
      <c r="T54" s="33"/>
    </row>
    <row r="55" spans="1:20" ht="12" customHeight="1" x14ac:dyDescent="0.3">
      <c r="O55" s="33"/>
      <c r="P55" s="33"/>
      <c r="Q55" s="33"/>
      <c r="R55" s="33"/>
      <c r="S55" s="33"/>
      <c r="T55" s="33"/>
    </row>
    <row r="56" spans="1:20" ht="12" customHeight="1" x14ac:dyDescent="0.3">
      <c r="O56" s="33"/>
      <c r="P56" s="33"/>
      <c r="Q56" s="33"/>
      <c r="R56" s="33"/>
      <c r="S56" s="33"/>
      <c r="T56" s="33"/>
    </row>
    <row r="57" spans="1:20" ht="12" customHeight="1" x14ac:dyDescent="0.3">
      <c r="O57" s="33"/>
      <c r="P57" s="33"/>
      <c r="Q57" s="33"/>
      <c r="R57" s="33"/>
      <c r="S57" s="33"/>
      <c r="T57" s="33"/>
    </row>
    <row r="58" spans="1:20" ht="12" customHeight="1" x14ac:dyDescent="0.3">
      <c r="O58" s="33"/>
      <c r="P58" s="33"/>
      <c r="Q58" s="33"/>
      <c r="R58" s="33"/>
      <c r="S58" s="33"/>
      <c r="T58" s="33"/>
    </row>
    <row r="59" spans="1:20" ht="12" customHeight="1" x14ac:dyDescent="0.3">
      <c r="O59" s="33"/>
      <c r="P59" s="33"/>
      <c r="Q59" s="33"/>
      <c r="R59" s="33"/>
      <c r="S59" s="33"/>
      <c r="T59" s="33"/>
    </row>
    <row r="60" spans="1:20" ht="12" customHeight="1" x14ac:dyDescent="0.3">
      <c r="O60" s="33"/>
      <c r="P60" s="33"/>
      <c r="Q60" s="33"/>
      <c r="R60" s="33"/>
      <c r="S60" s="33"/>
      <c r="T60" s="33"/>
    </row>
    <row r="61" spans="1:20" ht="12" customHeight="1" x14ac:dyDescent="0.3">
      <c r="O61" s="33"/>
      <c r="P61" s="33"/>
      <c r="Q61" s="33"/>
      <c r="R61" s="33"/>
      <c r="S61" s="33"/>
      <c r="T61" s="33"/>
    </row>
    <row r="62" spans="1:20" ht="12" customHeight="1" x14ac:dyDescent="0.3">
      <c r="O62" s="33"/>
      <c r="P62" s="33"/>
      <c r="Q62" s="33"/>
      <c r="R62" s="33"/>
      <c r="S62" s="33"/>
      <c r="T62" s="33"/>
    </row>
    <row r="63" spans="1:20" ht="12" customHeight="1" x14ac:dyDescent="0.3">
      <c r="O63" s="33"/>
      <c r="P63" s="33"/>
      <c r="Q63" s="33"/>
      <c r="R63" s="33"/>
      <c r="S63" s="33"/>
      <c r="T63" s="33"/>
    </row>
    <row r="64" spans="1:20" ht="12" customHeight="1" x14ac:dyDescent="0.3">
      <c r="O64" s="33"/>
      <c r="P64" s="33"/>
      <c r="Q64" s="33"/>
      <c r="R64" s="33"/>
      <c r="S64" s="33"/>
      <c r="T64" s="33"/>
    </row>
    <row r="65" spans="15:20" ht="12" customHeight="1" x14ac:dyDescent="0.3">
      <c r="O65" s="33"/>
      <c r="P65" s="33"/>
      <c r="Q65" s="33"/>
      <c r="R65" s="33"/>
      <c r="S65" s="33"/>
      <c r="T65" s="33"/>
    </row>
    <row r="66" spans="15:20" ht="12" customHeight="1" x14ac:dyDescent="0.3">
      <c r="O66" s="33"/>
      <c r="P66" s="33"/>
      <c r="Q66" s="33"/>
      <c r="R66" s="33"/>
      <c r="S66" s="33"/>
      <c r="T66" s="33"/>
    </row>
    <row r="67" spans="15:20" ht="12" customHeight="1" x14ac:dyDescent="0.3">
      <c r="O67" s="33"/>
      <c r="P67" s="33"/>
      <c r="Q67" s="33"/>
      <c r="R67" s="33"/>
      <c r="S67" s="33"/>
      <c r="T67" s="33"/>
    </row>
    <row r="68" spans="15:20" ht="12" customHeight="1" x14ac:dyDescent="0.3">
      <c r="O68" s="33"/>
      <c r="P68" s="33"/>
      <c r="Q68" s="33"/>
      <c r="R68" s="33"/>
      <c r="S68" s="33"/>
      <c r="T68" s="33"/>
    </row>
    <row r="69" spans="15:20" ht="12" customHeight="1" x14ac:dyDescent="0.3">
      <c r="O69" s="33"/>
      <c r="P69" s="33"/>
      <c r="Q69" s="33"/>
      <c r="R69" s="33"/>
      <c r="S69" s="33"/>
      <c r="T69" s="33"/>
    </row>
    <row r="70" spans="15:20" ht="12" customHeight="1" x14ac:dyDescent="0.3">
      <c r="O70" s="33"/>
      <c r="P70" s="33"/>
      <c r="Q70" s="33"/>
      <c r="R70" s="33"/>
      <c r="S70" s="33"/>
      <c r="T70" s="33"/>
    </row>
    <row r="71" spans="15:20" ht="12" customHeight="1" x14ac:dyDescent="0.3">
      <c r="O71" s="33"/>
      <c r="P71" s="33"/>
      <c r="Q71" s="33"/>
      <c r="R71" s="33"/>
      <c r="S71" s="33"/>
      <c r="T71" s="33"/>
    </row>
    <row r="72" spans="15:20" ht="12" customHeight="1" x14ac:dyDescent="0.3">
      <c r="O72" s="33"/>
      <c r="P72" s="33"/>
      <c r="Q72" s="33"/>
      <c r="R72" s="33"/>
      <c r="S72" s="33"/>
      <c r="T72" s="33"/>
    </row>
    <row r="73" spans="15:20" ht="12" customHeight="1" x14ac:dyDescent="0.3">
      <c r="O73" s="33"/>
      <c r="P73" s="33"/>
      <c r="Q73" s="33"/>
      <c r="R73" s="33"/>
      <c r="S73" s="33"/>
      <c r="T73" s="33"/>
    </row>
    <row r="74" spans="15:20" ht="12" customHeight="1" x14ac:dyDescent="0.3">
      <c r="O74" s="33"/>
      <c r="P74" s="33"/>
      <c r="Q74" s="33"/>
      <c r="R74" s="33"/>
      <c r="S74" s="33"/>
      <c r="T74" s="33"/>
    </row>
    <row r="75" spans="15:20" ht="12" customHeight="1" x14ac:dyDescent="0.3">
      <c r="O75" s="33"/>
      <c r="P75" s="33"/>
      <c r="Q75" s="33"/>
      <c r="R75" s="33"/>
      <c r="S75" s="33"/>
      <c r="T75" s="33"/>
    </row>
    <row r="76" spans="15:20" ht="12" customHeight="1" x14ac:dyDescent="0.3">
      <c r="O76" s="33"/>
      <c r="P76" s="33"/>
      <c r="Q76" s="33"/>
      <c r="R76" s="33"/>
      <c r="S76" s="33"/>
      <c r="T76" s="33"/>
    </row>
    <row r="77" spans="15:20" ht="12" customHeight="1" x14ac:dyDescent="0.3">
      <c r="O77" s="33"/>
      <c r="P77" s="33"/>
      <c r="Q77" s="33"/>
      <c r="R77" s="33"/>
      <c r="S77" s="33"/>
      <c r="T77" s="33"/>
    </row>
    <row r="78" spans="15:20" ht="12" customHeight="1" x14ac:dyDescent="0.3">
      <c r="O78" s="33"/>
      <c r="P78" s="33"/>
      <c r="Q78" s="33"/>
      <c r="R78" s="33"/>
      <c r="S78" s="33"/>
      <c r="T78" s="33"/>
    </row>
    <row r="79" spans="15:20" ht="12" customHeight="1" x14ac:dyDescent="0.3">
      <c r="O79" s="33"/>
      <c r="P79" s="33"/>
      <c r="Q79" s="33"/>
      <c r="R79" s="33"/>
      <c r="S79" s="33"/>
      <c r="T79" s="33"/>
    </row>
    <row r="80" spans="15:20" ht="12" customHeight="1" x14ac:dyDescent="0.3">
      <c r="O80" s="33"/>
      <c r="P80" s="33"/>
      <c r="Q80" s="33"/>
      <c r="R80" s="33"/>
      <c r="S80" s="33"/>
      <c r="T80" s="33"/>
    </row>
    <row r="81" spans="15:20" ht="12" customHeight="1" x14ac:dyDescent="0.3">
      <c r="O81" s="33"/>
      <c r="P81" s="33"/>
      <c r="Q81" s="33"/>
      <c r="R81" s="33"/>
      <c r="S81" s="33"/>
      <c r="T81" s="33"/>
    </row>
    <row r="82" spans="15:20" ht="12" customHeight="1" x14ac:dyDescent="0.3">
      <c r="O82" s="33"/>
      <c r="P82" s="33"/>
      <c r="Q82" s="33"/>
      <c r="R82" s="33"/>
      <c r="S82" s="33"/>
      <c r="T82" s="33"/>
    </row>
    <row r="83" spans="15:20" ht="12" customHeight="1" x14ac:dyDescent="0.3">
      <c r="O83" s="33"/>
      <c r="P83" s="33"/>
      <c r="Q83" s="33"/>
      <c r="R83" s="33"/>
      <c r="S83" s="33"/>
      <c r="T83" s="33"/>
    </row>
    <row r="84" spans="15:20" ht="12" customHeight="1" x14ac:dyDescent="0.3">
      <c r="O84" s="33"/>
      <c r="P84" s="33"/>
      <c r="Q84" s="33"/>
      <c r="R84" s="33"/>
      <c r="S84" s="33"/>
      <c r="T84" s="33"/>
    </row>
    <row r="85" spans="15:20" ht="12" customHeight="1" x14ac:dyDescent="0.3">
      <c r="O85" s="33"/>
      <c r="P85" s="33"/>
      <c r="Q85" s="33"/>
      <c r="R85" s="33"/>
      <c r="S85" s="33"/>
      <c r="T85" s="33"/>
    </row>
    <row r="86" spans="15:20" ht="12" customHeight="1" x14ac:dyDescent="0.3">
      <c r="O86" s="33"/>
      <c r="P86" s="33"/>
      <c r="Q86" s="33"/>
      <c r="R86" s="33"/>
      <c r="S86" s="33"/>
      <c r="T86" s="33"/>
    </row>
    <row r="87" spans="15:20" ht="12" customHeight="1" x14ac:dyDescent="0.3">
      <c r="O87" s="33"/>
      <c r="P87" s="33"/>
      <c r="Q87" s="33"/>
      <c r="R87" s="33"/>
      <c r="S87" s="33"/>
      <c r="T87" s="33"/>
    </row>
    <row r="88" spans="15:20" ht="12" customHeight="1" x14ac:dyDescent="0.3">
      <c r="O88" s="33"/>
      <c r="P88" s="33"/>
      <c r="Q88" s="33"/>
      <c r="R88" s="33"/>
      <c r="S88" s="33"/>
      <c r="T88" s="33"/>
    </row>
    <row r="89" spans="15:20" ht="12" customHeight="1" x14ac:dyDescent="0.3">
      <c r="O89" s="33"/>
      <c r="P89" s="33"/>
      <c r="Q89" s="33"/>
      <c r="R89" s="33"/>
      <c r="S89" s="33"/>
      <c r="T89" s="33"/>
    </row>
    <row r="90" spans="15:20" ht="12" customHeight="1" x14ac:dyDescent="0.3">
      <c r="O90" s="33"/>
      <c r="P90" s="33"/>
      <c r="Q90" s="33"/>
      <c r="R90" s="33"/>
      <c r="S90" s="33"/>
      <c r="T90" s="33"/>
    </row>
    <row r="91" spans="15:20" ht="12" customHeight="1" x14ac:dyDescent="0.3">
      <c r="O91" s="33"/>
      <c r="P91" s="33"/>
      <c r="Q91" s="33"/>
      <c r="R91" s="33"/>
      <c r="S91" s="33"/>
      <c r="T91" s="33"/>
    </row>
    <row r="92" spans="15:20" ht="12" customHeight="1" x14ac:dyDescent="0.3">
      <c r="O92" s="33"/>
      <c r="P92" s="33"/>
      <c r="Q92" s="33"/>
      <c r="R92" s="33"/>
      <c r="S92" s="33"/>
      <c r="T92" s="33"/>
    </row>
    <row r="93" spans="15:20" ht="12" customHeight="1" x14ac:dyDescent="0.3">
      <c r="O93" s="33"/>
      <c r="P93" s="33"/>
      <c r="Q93" s="33"/>
      <c r="R93" s="33"/>
      <c r="S93" s="33"/>
      <c r="T93" s="33"/>
    </row>
    <row r="94" spans="15:20" ht="12" customHeight="1" x14ac:dyDescent="0.3">
      <c r="O94" s="33"/>
      <c r="P94" s="33"/>
      <c r="Q94" s="33"/>
      <c r="R94" s="33"/>
      <c r="S94" s="33"/>
      <c r="T94" s="33"/>
    </row>
    <row r="95" spans="15:20" ht="12" customHeight="1" x14ac:dyDescent="0.3">
      <c r="O95" s="33"/>
      <c r="P95" s="33"/>
      <c r="Q95" s="33"/>
      <c r="R95" s="33"/>
      <c r="S95" s="33"/>
      <c r="T95" s="33"/>
    </row>
    <row r="96" spans="15:20" ht="12" customHeight="1" x14ac:dyDescent="0.3">
      <c r="O96" s="33"/>
      <c r="P96" s="33"/>
      <c r="Q96" s="33"/>
      <c r="R96" s="33"/>
      <c r="S96" s="33"/>
      <c r="T96" s="33"/>
    </row>
    <row r="97" spans="15:30" ht="12" customHeight="1" x14ac:dyDescent="0.3">
      <c r="O97" s="33"/>
      <c r="P97" s="33"/>
      <c r="Q97" s="33"/>
      <c r="R97" s="33"/>
      <c r="S97" s="33"/>
      <c r="T97" s="33"/>
    </row>
    <row r="98" spans="15:30" ht="12" customHeight="1" x14ac:dyDescent="0.3">
      <c r="O98" s="33"/>
      <c r="P98" s="33"/>
      <c r="Q98" s="33"/>
      <c r="R98" s="33"/>
      <c r="S98" s="33"/>
      <c r="T98" s="33"/>
    </row>
    <row r="99" spans="15:30" ht="12" customHeight="1" x14ac:dyDescent="0.3">
      <c r="O99" s="32"/>
      <c r="P99" s="32"/>
      <c r="Q99" s="32"/>
      <c r="R99" s="32"/>
      <c r="S99" s="32"/>
      <c r="T99" s="32"/>
    </row>
    <row r="100" spans="15:30" ht="12" customHeight="1" x14ac:dyDescent="0.3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3">
      <c r="O101" s="33" t="s">
        <v>654</v>
      </c>
      <c r="P101" s="33" t="s">
        <v>659</v>
      </c>
      <c r="Q101" s="33" t="s">
        <v>660</v>
      </c>
      <c r="R101" s="33" t="s">
        <v>661</v>
      </c>
      <c r="S101" s="33" t="s">
        <v>662</v>
      </c>
      <c r="T101" s="33" t="s">
        <v>663</v>
      </c>
      <c r="U101" s="33" t="s">
        <v>664</v>
      </c>
      <c r="V101" s="33" t="s">
        <v>665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3">
      <c r="O102" s="33" t="s">
        <v>36</v>
      </c>
      <c r="P102" s="33" t="s">
        <v>23</v>
      </c>
      <c r="Q102" s="33" t="s">
        <v>43</v>
      </c>
      <c r="R102" s="33" t="s">
        <v>44</v>
      </c>
      <c r="S102" s="33" t="s">
        <v>25</v>
      </c>
      <c r="T102" s="33" t="s">
        <v>44</v>
      </c>
      <c r="U102" s="33">
        <v>4</v>
      </c>
      <c r="V102" s="33">
        <v>0.3</v>
      </c>
      <c r="W102" s="33">
        <v>0.24</v>
      </c>
      <c r="X102" s="33">
        <v>0.18</v>
      </c>
      <c r="Y102" s="33">
        <v>0.12</v>
      </c>
      <c r="Z102" s="33">
        <v>0.06</v>
      </c>
      <c r="AA102" s="33">
        <v>0</v>
      </c>
      <c r="AB102" s="33"/>
      <c r="AC102" s="33"/>
      <c r="AD102" s="33"/>
    </row>
    <row r="103" spans="15:30" ht="12" customHeight="1" x14ac:dyDescent="0.3"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5:30" ht="12" customHeight="1" x14ac:dyDescent="0.3"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5:30" ht="12" customHeight="1" x14ac:dyDescent="0.3"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5:30" ht="12" customHeight="1" x14ac:dyDescent="0.3"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5:30" ht="12" customHeight="1" x14ac:dyDescent="0.3"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5:30" ht="12" customHeight="1" x14ac:dyDescent="0.3"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5:30" ht="12" customHeight="1" x14ac:dyDescent="0.3"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5:30" ht="12" customHeight="1" x14ac:dyDescent="0.3"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5:30" ht="12" customHeight="1" x14ac:dyDescent="0.3"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5:30" ht="12" customHeight="1" x14ac:dyDescent="0.3"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5:30" ht="12" customHeight="1" x14ac:dyDescent="0.3"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5:30" ht="12" customHeight="1" x14ac:dyDescent="0.3"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5:30" ht="12" customHeight="1" x14ac:dyDescent="0.3"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5:30" ht="12" customHeight="1" x14ac:dyDescent="0.3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3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3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3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3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3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3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3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3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3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3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3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3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3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3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3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3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3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3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3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3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3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3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3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3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3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3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3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3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3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3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3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3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3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3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3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3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3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3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3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3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3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3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3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3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3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3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3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3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3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3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3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3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3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3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3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3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3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3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3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3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3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3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3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3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3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3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3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3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3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3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3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3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3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3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3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3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3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3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3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3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3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3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3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3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  <mergeCell ref="B46:C46"/>
    <mergeCell ref="O1:U1"/>
    <mergeCell ref="A48:C4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C9D0-BC2E-442D-80EA-5287A5D21285}">
  <dimension ref="A1:AP51"/>
  <sheetViews>
    <sheetView showGridLines="0" topLeftCell="D41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77734375" style="9" bestFit="1" customWidth="1"/>
    <col min="15" max="16" width="8.218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10.3320312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10.3320312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1" t="s">
        <v>60</v>
      </c>
      <c r="B1" s="91" t="s">
        <v>61</v>
      </c>
      <c r="C1" s="91" t="s">
        <v>62</v>
      </c>
      <c r="D1" s="91" t="s">
        <v>63</v>
      </c>
      <c r="E1" s="91" t="s">
        <v>64</v>
      </c>
      <c r="F1" s="91" t="s">
        <v>15</v>
      </c>
      <c r="G1" s="91" t="s">
        <v>66</v>
      </c>
      <c r="H1" s="91" t="s">
        <v>67</v>
      </c>
      <c r="I1" s="91" t="s">
        <v>600</v>
      </c>
      <c r="J1" s="84"/>
      <c r="L1" s="92" t="s">
        <v>601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602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499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500</v>
      </c>
      <c r="M3" s="92"/>
      <c r="N3" s="92"/>
      <c r="O3" s="92"/>
      <c r="P3" s="92"/>
      <c r="Q3" s="92"/>
      <c r="R3" s="92"/>
      <c r="S3" s="92"/>
      <c r="T3" s="92"/>
      <c r="U3" s="92" t="s">
        <v>509</v>
      </c>
      <c r="V3" s="92"/>
      <c r="W3" s="92"/>
      <c r="X3" s="92"/>
      <c r="Y3" s="92"/>
      <c r="Z3" s="92"/>
      <c r="AA3" s="92"/>
      <c r="AB3" s="92"/>
      <c r="AC3" s="92" t="s">
        <v>517</v>
      </c>
      <c r="AD3" s="92"/>
      <c r="AE3" s="92" t="s">
        <v>519</v>
      </c>
      <c r="AF3" s="92"/>
      <c r="AG3" s="92"/>
      <c r="AH3" s="92" t="s">
        <v>522</v>
      </c>
      <c r="AI3" s="92"/>
      <c r="AJ3" s="92"/>
      <c r="AK3" s="92"/>
      <c r="AL3" s="92"/>
      <c r="AM3" s="92" t="s">
        <v>508</v>
      </c>
      <c r="AP3" s="93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585</v>
      </c>
      <c r="M4" s="10" t="s">
        <v>501</v>
      </c>
      <c r="N4" s="10" t="s">
        <v>502</v>
      </c>
      <c r="O4" s="10" t="s">
        <v>503</v>
      </c>
      <c r="P4" s="10" t="s">
        <v>504</v>
      </c>
      <c r="Q4" s="10" t="s">
        <v>505</v>
      </c>
      <c r="R4" s="10" t="s">
        <v>506</v>
      </c>
      <c r="S4" s="10" t="s">
        <v>507</v>
      </c>
      <c r="T4" s="10" t="s">
        <v>508</v>
      </c>
      <c r="U4" s="10" t="s">
        <v>510</v>
      </c>
      <c r="V4" s="10" t="s">
        <v>511</v>
      </c>
      <c r="W4" s="10" t="s">
        <v>512</v>
      </c>
      <c r="X4" s="10" t="s">
        <v>513</v>
      </c>
      <c r="Y4" s="10" t="s">
        <v>514</v>
      </c>
      <c r="Z4" s="10" t="s">
        <v>515</v>
      </c>
      <c r="AA4" s="10" t="s">
        <v>516</v>
      </c>
      <c r="AB4" s="10" t="s">
        <v>508</v>
      </c>
      <c r="AC4" s="10" t="s">
        <v>518</v>
      </c>
      <c r="AD4" s="10" t="s">
        <v>508</v>
      </c>
      <c r="AE4" s="10" t="s">
        <v>520</v>
      </c>
      <c r="AF4" s="10" t="s">
        <v>521</v>
      </c>
      <c r="AG4" s="10" t="s">
        <v>508</v>
      </c>
      <c r="AH4" s="10" t="s">
        <v>523</v>
      </c>
      <c r="AI4" s="10" t="s">
        <v>524</v>
      </c>
      <c r="AJ4" s="10" t="s">
        <v>525</v>
      </c>
      <c r="AK4" s="10" t="s">
        <v>526</v>
      </c>
      <c r="AL4" s="10" t="s">
        <v>508</v>
      </c>
      <c r="AM4" s="94"/>
      <c r="AP4" s="93"/>
    </row>
    <row r="5" spans="1:42" ht="11.25" customHeight="1" x14ac:dyDescent="0.3">
      <c r="A5" s="95" t="s">
        <v>37</v>
      </c>
      <c r="B5" s="95" t="s">
        <v>41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76</v>
      </c>
      <c r="H5" s="18" t="s">
        <v>75</v>
      </c>
      <c r="I5" s="18">
        <f>'MERCADO TUSD'!$U$2</f>
        <v>6523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39.968400000000003</v>
      </c>
      <c r="Z5" s="13">
        <v>0</v>
      </c>
      <c r="AA5" s="13">
        <v>0</v>
      </c>
      <c r="AB5" s="13"/>
      <c r="AC5" s="13">
        <v>141.10939999999999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3">
      <c r="A6" s="95"/>
      <c r="B6" s="95"/>
      <c r="C6" s="95"/>
      <c r="D6" s="95"/>
      <c r="E6" s="95"/>
      <c r="F6" s="95"/>
      <c r="G6" s="18" t="s">
        <v>77</v>
      </c>
      <c r="H6" s="18" t="s">
        <v>75</v>
      </c>
      <c r="I6" s="18">
        <f>'MERCADO TUSD'!$U$3</f>
        <v>6575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16.154699999999998</v>
      </c>
      <c r="Z6" s="13">
        <v>0</v>
      </c>
      <c r="AA6" s="13">
        <v>0</v>
      </c>
      <c r="AB6" s="13"/>
      <c r="AC6" s="13">
        <v>39.430700000000002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3">
      <c r="A7" s="95"/>
      <c r="B7" s="95"/>
      <c r="C7" s="95"/>
      <c r="D7" s="95"/>
      <c r="E7" s="95"/>
      <c r="F7" s="95"/>
      <c r="G7" s="18" t="s">
        <v>74</v>
      </c>
      <c r="H7" s="18" t="s">
        <v>70</v>
      </c>
      <c r="I7" s="18">
        <f>'MERCADO TUSD'!$U$4</f>
        <v>4102.5690000000004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3">
      <c r="A8" s="95"/>
      <c r="B8" s="95"/>
      <c r="C8" s="95"/>
      <c r="D8" s="95"/>
      <c r="E8" s="17" t="s">
        <v>78</v>
      </c>
      <c r="F8" s="17" t="s">
        <v>25</v>
      </c>
      <c r="G8" s="18" t="s">
        <v>74</v>
      </c>
      <c r="H8" s="18" t="s">
        <v>70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3">
      <c r="A9" s="95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75</v>
      </c>
      <c r="I9" s="18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10.703099999999999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75</v>
      </c>
      <c r="I10" s="18">
        <f>'MERCADO TUSD'!$U$7</f>
        <v>18005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16.154699999999998</v>
      </c>
      <c r="Z10" s="13">
        <v>0</v>
      </c>
      <c r="AA10" s="13">
        <v>0</v>
      </c>
      <c r="AB10" s="13"/>
      <c r="AC10" s="13">
        <v>39.430700000000002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3">
      <c r="A11" s="95"/>
      <c r="B11" s="95"/>
      <c r="C11" s="95"/>
      <c r="D11" s="95"/>
      <c r="E11" s="95"/>
      <c r="F11" s="95"/>
      <c r="G11" s="18" t="s">
        <v>71</v>
      </c>
      <c r="H11" s="18" t="s">
        <v>70</v>
      </c>
      <c r="I11" s="18">
        <f>'MERCADO TUSD'!$U$8</f>
        <v>126.06400000000002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961.62300000000005</v>
      </c>
      <c r="Z11" s="13">
        <v>0</v>
      </c>
      <c r="AA11" s="13">
        <v>0</v>
      </c>
      <c r="AB11" s="13"/>
      <c r="AC11" s="13">
        <v>3393.6835999999998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3">
      <c r="A12" s="95"/>
      <c r="B12" s="95"/>
      <c r="C12" s="95"/>
      <c r="D12" s="95"/>
      <c r="E12" s="95"/>
      <c r="F12" s="95"/>
      <c r="G12" s="18" t="s">
        <v>72</v>
      </c>
      <c r="H12" s="18" t="s">
        <v>70</v>
      </c>
      <c r="I12" s="18">
        <f>'MERCADO TUSD'!$U$9</f>
        <v>4809.674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3">
      <c r="A13" s="95"/>
      <c r="B13" s="95"/>
      <c r="C13" s="95"/>
      <c r="D13" s="95"/>
      <c r="E13" s="95" t="s">
        <v>78</v>
      </c>
      <c r="F13" s="95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961.62300000000005</v>
      </c>
      <c r="Z13" s="13">
        <v>0</v>
      </c>
      <c r="AA13" s="13">
        <v>0</v>
      </c>
      <c r="AB13" s="13"/>
      <c r="AC13" s="13">
        <v>3393.6835999999998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3">
      <c r="A14" s="95"/>
      <c r="B14" s="95"/>
      <c r="C14" s="95"/>
      <c r="D14" s="95"/>
      <c r="E14" s="95"/>
      <c r="F14" s="95"/>
      <c r="G14" s="18" t="s">
        <v>72</v>
      </c>
      <c r="H14" s="18" t="s">
        <v>70</v>
      </c>
      <c r="I14" s="18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3">
      <c r="A15" s="95" t="s">
        <v>80</v>
      </c>
      <c r="B15" s="95" t="s">
        <v>79</v>
      </c>
      <c r="C15" s="95" t="s">
        <v>25</v>
      </c>
      <c r="D15" s="95" t="s">
        <v>25</v>
      </c>
      <c r="E15" s="17" t="s">
        <v>81</v>
      </c>
      <c r="F15" s="17" t="s">
        <v>25</v>
      </c>
      <c r="G15" s="18" t="s">
        <v>9</v>
      </c>
      <c r="H15" s="18" t="s">
        <v>75</v>
      </c>
      <c r="I15" s="18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18.400300000000001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3">
      <c r="A16" s="95"/>
      <c r="B16" s="95"/>
      <c r="C16" s="95"/>
      <c r="D16" s="95"/>
      <c r="E16" s="17" t="s">
        <v>82</v>
      </c>
      <c r="F16" s="17" t="s">
        <v>25</v>
      </c>
      <c r="G16" s="18" t="s">
        <v>9</v>
      </c>
      <c r="H16" s="18" t="s">
        <v>75</v>
      </c>
      <c r="I16" s="18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37.436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3">
      <c r="A17" s="95" t="s">
        <v>22</v>
      </c>
      <c r="B17" s="95" t="s">
        <v>33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71</v>
      </c>
      <c r="H17" s="18" t="s">
        <v>70</v>
      </c>
      <c r="I17" s="18">
        <f>'MERCADO TUSD'!$U$14</f>
        <v>0.66799999999999993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352.0566</v>
      </c>
      <c r="Z17" s="13">
        <v>0</v>
      </c>
      <c r="AA17" s="13">
        <v>0</v>
      </c>
      <c r="AB17" s="13"/>
      <c r="AC17" s="13">
        <v>1585.6279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3">
      <c r="A18" s="95"/>
      <c r="B18" s="95"/>
      <c r="C18" s="95"/>
      <c r="D18" s="95"/>
      <c r="E18" s="95"/>
      <c r="F18" s="95"/>
      <c r="G18" s="18" t="s">
        <v>83</v>
      </c>
      <c r="H18" s="18" t="s">
        <v>70</v>
      </c>
      <c r="I18" s="18">
        <f>'MERCADO TUSD'!$U$15</f>
        <v>0.34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211.23400000000001</v>
      </c>
      <c r="Z18" s="13">
        <v>0</v>
      </c>
      <c r="AA18" s="13">
        <v>0</v>
      </c>
      <c r="AB18" s="13"/>
      <c r="AC18" s="13">
        <v>951.37720000000002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3">
      <c r="A19" s="95"/>
      <c r="B19" s="95"/>
      <c r="C19" s="95"/>
      <c r="D19" s="95"/>
      <c r="E19" s="95"/>
      <c r="F19" s="95"/>
      <c r="G19" s="18" t="s">
        <v>72</v>
      </c>
      <c r="H19" s="18" t="s">
        <v>70</v>
      </c>
      <c r="I19" s="18">
        <f>'MERCADO TUSD'!$U$16</f>
        <v>8.6609999999999996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70.475700000000003</v>
      </c>
      <c r="Z19" s="13">
        <v>0</v>
      </c>
      <c r="AA19" s="13">
        <v>0</v>
      </c>
      <c r="AB19" s="13"/>
      <c r="AC19" s="13">
        <v>317.12529999999998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74</v>
      </c>
      <c r="H20" s="18" t="s">
        <v>70</v>
      </c>
      <c r="I20" s="18">
        <f>'MERCADO TUSD'!$U$17</f>
        <v>15958.987000000001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130.33170000000001</v>
      </c>
      <c r="Z20" s="13">
        <v>0</v>
      </c>
      <c r="AA20" s="13">
        <v>0</v>
      </c>
      <c r="AB20" s="13"/>
      <c r="AC20" s="13">
        <v>587.26980000000003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3">
      <c r="A21" s="95"/>
      <c r="B21" s="95"/>
      <c r="C21" s="95"/>
      <c r="D21" s="17" t="s">
        <v>29</v>
      </c>
      <c r="E21" s="17" t="s">
        <v>25</v>
      </c>
      <c r="F21" s="17" t="s">
        <v>25</v>
      </c>
      <c r="G21" s="18" t="s">
        <v>74</v>
      </c>
      <c r="H21" s="18" t="s">
        <v>70</v>
      </c>
      <c r="I21" s="18">
        <f>'MERCADO TUSD'!$U$18</f>
        <v>86.132999999999996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CUSTOS!$M$24)*130.3317</f>
        <v>130.33170000000001</v>
      </c>
      <c r="Z21" s="13">
        <v>0</v>
      </c>
      <c r="AA21" s="13">
        <v>0</v>
      </c>
      <c r="AB21" s="13"/>
      <c r="AC21" s="13">
        <f>(1 - CUSTOS!$M$24)*587.2698</f>
        <v>587.26980000000003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5"/>
      <c r="B22" s="95"/>
      <c r="C22" s="95"/>
      <c r="D22" s="17" t="s">
        <v>30</v>
      </c>
      <c r="E22" s="17" t="s">
        <v>25</v>
      </c>
      <c r="F22" s="17" t="s">
        <v>25</v>
      </c>
      <c r="G22" s="18" t="s">
        <v>74</v>
      </c>
      <c r="H22" s="18" t="s">
        <v>70</v>
      </c>
      <c r="I22" s="18">
        <f>'MERCADO TUSD'!$U$19</f>
        <v>172.315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CUSTOS!$M$25)*130.3317</f>
        <v>130.33170000000001</v>
      </c>
      <c r="Z22" s="13">
        <v>0</v>
      </c>
      <c r="AA22" s="13">
        <v>0</v>
      </c>
      <c r="AB22" s="13"/>
      <c r="AC22" s="13">
        <f>(1 - CUSTOS!$M$25)*587.2698</f>
        <v>587.26980000000003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5"/>
      <c r="B23" s="95"/>
      <c r="C23" s="95"/>
      <c r="D23" s="17" t="s">
        <v>31</v>
      </c>
      <c r="E23" s="17" t="s">
        <v>25</v>
      </c>
      <c r="F23" s="17" t="s">
        <v>25</v>
      </c>
      <c r="G23" s="18" t="s">
        <v>74</v>
      </c>
      <c r="H23" s="18" t="s">
        <v>70</v>
      </c>
      <c r="I23" s="18">
        <f>'MERCADO TUSD'!$U$20</f>
        <v>174.131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CUSTOS!$M$26)*130.3317</f>
        <v>130.33170000000001</v>
      </c>
      <c r="Z23" s="13">
        <v>0</v>
      </c>
      <c r="AA23" s="13">
        <v>0</v>
      </c>
      <c r="AB23" s="13"/>
      <c r="AC23" s="13">
        <f>(1 - CUSTOS!$M$26)*587.2698</f>
        <v>587.26980000000003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5"/>
      <c r="B24" s="95"/>
      <c r="C24" s="95"/>
      <c r="D24" s="17" t="s">
        <v>32</v>
      </c>
      <c r="E24" s="17" t="s">
        <v>25</v>
      </c>
      <c r="F24" s="17" t="s">
        <v>25</v>
      </c>
      <c r="G24" s="18" t="s">
        <v>74</v>
      </c>
      <c r="H24" s="18" t="s">
        <v>70</v>
      </c>
      <c r="I24" s="18">
        <f>'MERCADO TUSD'!$U$21</f>
        <v>71.680000000000007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CUSTOS!$M$27)*130.3317</f>
        <v>130.33170000000001</v>
      </c>
      <c r="Z24" s="13">
        <v>0</v>
      </c>
      <c r="AA24" s="13">
        <v>0</v>
      </c>
      <c r="AB24" s="13"/>
      <c r="AC24" s="13">
        <f>(1 - CUSTOS!$M$27)*587.2698</f>
        <v>587.26980000000003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5"/>
      <c r="B25" s="95" t="s">
        <v>85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74</v>
      </c>
      <c r="H25" s="18" t="s">
        <v>70</v>
      </c>
      <c r="I25" s="18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130.33170000000001</v>
      </c>
      <c r="Z25" s="13">
        <v>0</v>
      </c>
      <c r="AA25" s="13">
        <v>0</v>
      </c>
      <c r="AB25" s="13"/>
      <c r="AC25" s="13">
        <v>587.26980000000003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3">
      <c r="A26" s="95"/>
      <c r="B26" s="95"/>
      <c r="C26" s="95"/>
      <c r="D26" s="17" t="s">
        <v>29</v>
      </c>
      <c r="E26" s="17" t="s">
        <v>25</v>
      </c>
      <c r="F26" s="17" t="s">
        <v>25</v>
      </c>
      <c r="G26" s="18" t="s">
        <v>74</v>
      </c>
      <c r="H26" s="18" t="s">
        <v>70</v>
      </c>
      <c r="I26" s="18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CUSTOS!$M$24)*130.3317</f>
        <v>130.33170000000001</v>
      </c>
      <c r="Z26" s="13">
        <v>0</v>
      </c>
      <c r="AA26" s="13">
        <v>0</v>
      </c>
      <c r="AB26" s="13"/>
      <c r="AC26" s="13">
        <f>(1 - CUSTOS!$M$24)*587.2698</f>
        <v>587.26980000000003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5"/>
      <c r="B27" s="95"/>
      <c r="C27" s="95"/>
      <c r="D27" s="17" t="s">
        <v>30</v>
      </c>
      <c r="E27" s="17" t="s">
        <v>25</v>
      </c>
      <c r="F27" s="17" t="s">
        <v>25</v>
      </c>
      <c r="G27" s="18" t="s">
        <v>74</v>
      </c>
      <c r="H27" s="18" t="s">
        <v>70</v>
      </c>
      <c r="I27" s="18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CUSTOS!$M$25)*130.3317</f>
        <v>130.33170000000001</v>
      </c>
      <c r="Z27" s="13">
        <v>0</v>
      </c>
      <c r="AA27" s="13">
        <v>0</v>
      </c>
      <c r="AB27" s="13"/>
      <c r="AC27" s="13">
        <f>(1 - CUSTOS!$M$25)*587.2698</f>
        <v>587.26980000000003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5"/>
      <c r="B28" s="95"/>
      <c r="C28" s="95"/>
      <c r="D28" s="17" t="s">
        <v>31</v>
      </c>
      <c r="E28" s="17" t="s">
        <v>25</v>
      </c>
      <c r="F28" s="17" t="s">
        <v>25</v>
      </c>
      <c r="G28" s="18" t="s">
        <v>74</v>
      </c>
      <c r="H28" s="18" t="s">
        <v>70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CUSTOS!$M$26)*130.3317</f>
        <v>130.33170000000001</v>
      </c>
      <c r="Z28" s="13">
        <v>0</v>
      </c>
      <c r="AA28" s="13">
        <v>0</v>
      </c>
      <c r="AB28" s="13"/>
      <c r="AC28" s="13">
        <f>(1 - CUSTOS!$M$26)*587.2698</f>
        <v>587.26980000000003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5"/>
      <c r="B29" s="95"/>
      <c r="C29" s="95"/>
      <c r="D29" s="17" t="s">
        <v>32</v>
      </c>
      <c r="E29" s="17" t="s">
        <v>25</v>
      </c>
      <c r="F29" s="17" t="s">
        <v>25</v>
      </c>
      <c r="G29" s="18" t="s">
        <v>74</v>
      </c>
      <c r="H29" s="18" t="s">
        <v>70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CUSTOS!$M$27)*130.3317</f>
        <v>130.33170000000001</v>
      </c>
      <c r="Z29" s="13">
        <v>0</v>
      </c>
      <c r="AA29" s="13">
        <v>0</v>
      </c>
      <c r="AB29" s="13"/>
      <c r="AC29" s="13">
        <f>(1 - CUSTOS!$M$27)*587.2698</f>
        <v>587.26980000000003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5" t="s">
        <v>43</v>
      </c>
      <c r="B30" s="95" t="s">
        <v>33</v>
      </c>
      <c r="C30" s="95" t="s">
        <v>44</v>
      </c>
      <c r="D30" s="95" t="s">
        <v>25</v>
      </c>
      <c r="E30" s="95" t="s">
        <v>25</v>
      </c>
      <c r="F30" s="95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CUSTOS!$M$28)*384.4947</f>
        <v>384.49470000000002</v>
      </c>
      <c r="Z30" s="13">
        <v>0</v>
      </c>
      <c r="AA30" s="13">
        <v>0</v>
      </c>
      <c r="AB30" s="13"/>
      <c r="AC30" s="13">
        <f>(1 - CUSTOS!$M$28)*1732.4456</f>
        <v>1732.4456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5"/>
      <c r="B31" s="95"/>
      <c r="C31" s="95"/>
      <c r="D31" s="95"/>
      <c r="E31" s="95"/>
      <c r="F31" s="95"/>
      <c r="G31" s="18" t="s">
        <v>83</v>
      </c>
      <c r="H31" s="18" t="s">
        <v>70</v>
      </c>
      <c r="I31" s="18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CUSTOS!$M$28)*230.6711</f>
        <v>230.6711</v>
      </c>
      <c r="Z31" s="13">
        <v>0</v>
      </c>
      <c r="AA31" s="13">
        <v>0</v>
      </c>
      <c r="AB31" s="13"/>
      <c r="AC31" s="13">
        <f>(1 - CUSTOS!$M$28)*1039.4671</f>
        <v>1039.4671000000001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5"/>
      <c r="B32" s="95"/>
      <c r="C32" s="95"/>
      <c r="D32" s="95"/>
      <c r="E32" s="95"/>
      <c r="F32" s="95"/>
      <c r="G32" s="18" t="s">
        <v>72</v>
      </c>
      <c r="H32" s="18" t="s">
        <v>70</v>
      </c>
      <c r="I32" s="18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CUSTOS!$M$28)*76.8475</f>
        <v>76.847499999999997</v>
      </c>
      <c r="Z32" s="13">
        <v>0</v>
      </c>
      <c r="AA32" s="13">
        <v>0</v>
      </c>
      <c r="AB32" s="13"/>
      <c r="AC32" s="13">
        <f>(1 - CUSTOS!$M$28)*346.489</f>
        <v>346.48899999999998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5"/>
      <c r="B33" s="17" t="s">
        <v>23</v>
      </c>
      <c r="C33" s="17" t="s">
        <v>44</v>
      </c>
      <c r="D33" s="17" t="s">
        <v>25</v>
      </c>
      <c r="E33" s="17" t="s">
        <v>25</v>
      </c>
      <c r="F33" s="17" t="s">
        <v>25</v>
      </c>
      <c r="G33" s="18" t="s">
        <v>74</v>
      </c>
      <c r="H33" s="18" t="s">
        <v>70</v>
      </c>
      <c r="I33" s="18">
        <f>'MERCADO TUSD'!$U$30</f>
        <v>19400.674999999996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CUSTOS!$M$28)*130.3317</f>
        <v>130.33170000000001</v>
      </c>
      <c r="Z33" s="13">
        <v>0</v>
      </c>
      <c r="AA33" s="13">
        <v>0</v>
      </c>
      <c r="AB33" s="13"/>
      <c r="AC33" s="13">
        <f>(1 - CUSTOS!$M$28)*587.2698</f>
        <v>587.26980000000003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5"/>
      <c r="B34" s="95" t="s">
        <v>33</v>
      </c>
      <c r="C34" s="95" t="s">
        <v>44</v>
      </c>
      <c r="D34" s="95" t="s">
        <v>86</v>
      </c>
      <c r="E34" s="95" t="s">
        <v>25</v>
      </c>
      <c r="F34" s="95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CUSTOS!$M$29)*384.4947</f>
        <v>384.49470000000002</v>
      </c>
      <c r="Z34" s="13">
        <v>0</v>
      </c>
      <c r="AA34" s="13">
        <v>0</v>
      </c>
      <c r="AB34" s="13"/>
      <c r="AC34" s="13">
        <f>(1 - CUSTOS!$M$29)*1732.4456</f>
        <v>1732.4456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5"/>
      <c r="B35" s="95"/>
      <c r="C35" s="95"/>
      <c r="D35" s="95"/>
      <c r="E35" s="95"/>
      <c r="F35" s="95"/>
      <c r="G35" s="18" t="s">
        <v>83</v>
      </c>
      <c r="H35" s="18" t="s">
        <v>70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CUSTOS!$M$29)*230.6711</f>
        <v>230.6711</v>
      </c>
      <c r="Z35" s="13">
        <v>0</v>
      </c>
      <c r="AA35" s="13">
        <v>0</v>
      </c>
      <c r="AB35" s="13"/>
      <c r="AC35" s="13">
        <f>(1 - CUSTOS!$M$29)*1039.4671</f>
        <v>1039.4671000000001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5"/>
      <c r="B36" s="95"/>
      <c r="C36" s="95"/>
      <c r="D36" s="95"/>
      <c r="E36" s="95"/>
      <c r="F36" s="95"/>
      <c r="G36" s="18" t="s">
        <v>72</v>
      </c>
      <c r="H36" s="18" t="s">
        <v>70</v>
      </c>
      <c r="I36" s="18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CUSTOS!$M$29)*76.8475</f>
        <v>76.847499999999997</v>
      </c>
      <c r="Z36" s="13">
        <v>0</v>
      </c>
      <c r="AA36" s="13">
        <v>0</v>
      </c>
      <c r="AB36" s="13"/>
      <c r="AC36" s="13">
        <f>(1 - CUSTOS!$M$29)*346.489</f>
        <v>346.48899999999998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5"/>
      <c r="B37" s="17" t="s">
        <v>23</v>
      </c>
      <c r="C37" s="17" t="s">
        <v>44</v>
      </c>
      <c r="D37" s="17" t="s">
        <v>86</v>
      </c>
      <c r="E37" s="17" t="s">
        <v>25</v>
      </c>
      <c r="F37" s="17" t="s">
        <v>25</v>
      </c>
      <c r="G37" s="18" t="s">
        <v>74</v>
      </c>
      <c r="H37" s="18" t="s">
        <v>70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CUSTOS!$M$29)*130.3317</f>
        <v>130.33170000000001</v>
      </c>
      <c r="Z37" s="13">
        <v>0</v>
      </c>
      <c r="AA37" s="13">
        <v>0</v>
      </c>
      <c r="AB37" s="13"/>
      <c r="AC37" s="13">
        <f>(1 - CUSTOS!$M$29)*587.2698</f>
        <v>587.26980000000003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5"/>
      <c r="B38" s="95" t="s">
        <v>33</v>
      </c>
      <c r="C38" s="95" t="s">
        <v>44</v>
      </c>
      <c r="D38" s="95" t="s">
        <v>87</v>
      </c>
      <c r="E38" s="95" t="s">
        <v>25</v>
      </c>
      <c r="F38" s="95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CUSTOS!$M$30)*384.4947</f>
        <v>384.49470000000002</v>
      </c>
      <c r="Z38" s="13">
        <v>0</v>
      </c>
      <c r="AA38" s="13">
        <v>0</v>
      </c>
      <c r="AB38" s="13"/>
      <c r="AC38" s="13">
        <f>(1 - CUSTOS!$M$30)*1732.4456</f>
        <v>1732.4456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5"/>
      <c r="B39" s="95"/>
      <c r="C39" s="95"/>
      <c r="D39" s="95"/>
      <c r="E39" s="95"/>
      <c r="F39" s="95"/>
      <c r="G39" s="18" t="s">
        <v>83</v>
      </c>
      <c r="H39" s="18" t="s">
        <v>70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CUSTOS!$M$30)*230.6711</f>
        <v>230.6711</v>
      </c>
      <c r="Z39" s="13">
        <v>0</v>
      </c>
      <c r="AA39" s="13">
        <v>0</v>
      </c>
      <c r="AB39" s="13"/>
      <c r="AC39" s="13">
        <f>(1 - CUSTOS!$M$30)*1039.4671</f>
        <v>1039.4671000000001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5"/>
      <c r="B40" s="95"/>
      <c r="C40" s="95"/>
      <c r="D40" s="95"/>
      <c r="E40" s="95"/>
      <c r="F40" s="95"/>
      <c r="G40" s="18" t="s">
        <v>72</v>
      </c>
      <c r="H40" s="18" t="s">
        <v>70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CUSTOS!$M$30)*76.8475</f>
        <v>76.847499999999997</v>
      </c>
      <c r="Z40" s="13">
        <v>0</v>
      </c>
      <c r="AA40" s="13">
        <v>0</v>
      </c>
      <c r="AB40" s="13"/>
      <c r="AC40" s="13">
        <f>(1 - CUSTOS!$M$30)*346.489</f>
        <v>346.48899999999998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5"/>
      <c r="B41" s="17" t="s">
        <v>23</v>
      </c>
      <c r="C41" s="17" t="s">
        <v>44</v>
      </c>
      <c r="D41" s="17" t="s">
        <v>87</v>
      </c>
      <c r="E41" s="17" t="s">
        <v>25</v>
      </c>
      <c r="F41" s="17" t="s">
        <v>25</v>
      </c>
      <c r="G41" s="18" t="s">
        <v>74</v>
      </c>
      <c r="H41" s="18" t="s">
        <v>70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CUSTOS!$M$30)*130.3317</f>
        <v>130.33170000000001</v>
      </c>
      <c r="Z41" s="13">
        <v>0</v>
      </c>
      <c r="AA41" s="13">
        <v>0</v>
      </c>
      <c r="AB41" s="13"/>
      <c r="AC41" s="13">
        <f>(1 - CUSTOS!$M$30)*587.2698</f>
        <v>587.26980000000003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5"/>
      <c r="B42" s="95" t="s">
        <v>85</v>
      </c>
      <c r="C42" s="95" t="s">
        <v>44</v>
      </c>
      <c r="D42" s="17" t="s">
        <v>25</v>
      </c>
      <c r="E42" s="17" t="s">
        <v>25</v>
      </c>
      <c r="F42" s="17" t="s">
        <v>25</v>
      </c>
      <c r="G42" s="18" t="s">
        <v>74</v>
      </c>
      <c r="H42" s="18" t="s">
        <v>70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CUSTOS!$M$28)*130.3317</f>
        <v>130.33170000000001</v>
      </c>
      <c r="Z42" s="13">
        <v>0</v>
      </c>
      <c r="AA42" s="13">
        <v>0</v>
      </c>
      <c r="AB42" s="13"/>
      <c r="AC42" s="13">
        <f>(1 - CUSTOS!$M$28)*587.2698</f>
        <v>587.26980000000003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5"/>
      <c r="B43" s="95"/>
      <c r="C43" s="95"/>
      <c r="D43" s="17" t="s">
        <v>86</v>
      </c>
      <c r="E43" s="17" t="s">
        <v>25</v>
      </c>
      <c r="F43" s="17" t="s">
        <v>25</v>
      </c>
      <c r="G43" s="18" t="s">
        <v>74</v>
      </c>
      <c r="H43" s="18" t="s">
        <v>70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CUSTOS!$M$29)*130.3317</f>
        <v>130.33170000000001</v>
      </c>
      <c r="Z43" s="13">
        <v>0</v>
      </c>
      <c r="AA43" s="13">
        <v>0</v>
      </c>
      <c r="AB43" s="13"/>
      <c r="AC43" s="13">
        <f>(1 - CUSTOS!$M$29)*587.2698</f>
        <v>587.26980000000003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5"/>
      <c r="B44" s="95"/>
      <c r="C44" s="95"/>
      <c r="D44" s="17" t="s">
        <v>87</v>
      </c>
      <c r="E44" s="17" t="s">
        <v>25</v>
      </c>
      <c r="F44" s="17" t="s">
        <v>25</v>
      </c>
      <c r="G44" s="18" t="s">
        <v>74</v>
      </c>
      <c r="H44" s="18" t="s">
        <v>70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CUSTOS!$M$30)*130.3317</f>
        <v>130.33170000000001</v>
      </c>
      <c r="Z44" s="13">
        <v>0</v>
      </c>
      <c r="AA44" s="13">
        <v>0</v>
      </c>
      <c r="AB44" s="13"/>
      <c r="AC44" s="13">
        <f>(1 - CUSTOS!$M$30)*587.2698</f>
        <v>587.26980000000003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5" t="s">
        <v>35</v>
      </c>
      <c r="B45" s="95" t="s">
        <v>33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71</v>
      </c>
      <c r="H45" s="18" t="s">
        <v>70</v>
      </c>
      <c r="I45" s="18">
        <f>'MERCADO TUSD'!$U$42</f>
        <v>0.746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CUSTOS!$M$31)*449.7571</f>
        <v>449.75709999999998</v>
      </c>
      <c r="Z45" s="13">
        <v>0</v>
      </c>
      <c r="AA45" s="13">
        <v>0</v>
      </c>
      <c r="AB45" s="13"/>
      <c r="AC45" s="13">
        <f>(1 - CUSTOS!$M$31)*2026.0799</f>
        <v>2026.0799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5"/>
      <c r="B46" s="95"/>
      <c r="C46" s="95"/>
      <c r="D46" s="95"/>
      <c r="E46" s="95"/>
      <c r="F46" s="95"/>
      <c r="G46" s="18" t="s">
        <v>83</v>
      </c>
      <c r="H46" s="18" t="s">
        <v>70</v>
      </c>
      <c r="I46" s="18">
        <f>'MERCADO TUSD'!$U$43</f>
        <v>0.45699999999999996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CUSTOS!$M$31)*269.8028</f>
        <v>269.80279999999999</v>
      </c>
      <c r="Z46" s="13">
        <v>0</v>
      </c>
      <c r="AA46" s="13">
        <v>0</v>
      </c>
      <c r="AB46" s="13"/>
      <c r="AC46" s="13">
        <f>(1 - CUSTOS!$M$31)*1215.6478</f>
        <v>1215.6478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5"/>
      <c r="B47" s="95"/>
      <c r="C47" s="95"/>
      <c r="D47" s="95"/>
      <c r="E47" s="95"/>
      <c r="F47" s="95"/>
      <c r="G47" s="18" t="s">
        <v>72</v>
      </c>
      <c r="H47" s="18" t="s">
        <v>70</v>
      </c>
      <c r="I47" s="18">
        <f>'MERCADO TUSD'!$U$44</f>
        <v>6.4780000000000006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CUSTOS!$M$31)*89.9128</f>
        <v>89.912800000000004</v>
      </c>
      <c r="Z47" s="13">
        <v>0</v>
      </c>
      <c r="AA47" s="13">
        <v>0</v>
      </c>
      <c r="AB47" s="13"/>
      <c r="AC47" s="13">
        <f>(1 - CUSTOS!$M$31)*405.2164</f>
        <v>405.21640000000002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74</v>
      </c>
      <c r="H48" s="18" t="s">
        <v>70</v>
      </c>
      <c r="I48" s="18">
        <f>'MERCADO TUSD'!$U$45</f>
        <v>2717.4190000000003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CUSTOS!$M$31)*130.3317</f>
        <v>130.33170000000001</v>
      </c>
      <c r="Z48" s="13">
        <v>0</v>
      </c>
      <c r="AA48" s="13">
        <v>0</v>
      </c>
      <c r="AB48" s="13"/>
      <c r="AC48" s="13">
        <f>(1 - CUSTOS!$M$31)*587.2698</f>
        <v>587.26980000000003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5"/>
      <c r="B49" s="17" t="s">
        <v>85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74</v>
      </c>
      <c r="H49" s="18" t="s">
        <v>70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CUSTOS!$M$31)*130.3317</f>
        <v>130.33170000000001</v>
      </c>
      <c r="Z49" s="13">
        <v>0</v>
      </c>
      <c r="AA49" s="13">
        <v>0</v>
      </c>
      <c r="AB49" s="13"/>
      <c r="AC49" s="13">
        <f>(1 - CUSTOS!$M$31)*587.2698</f>
        <v>587.26980000000003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5" t="s">
        <v>46</v>
      </c>
      <c r="B50" s="95" t="s">
        <v>23</v>
      </c>
      <c r="C50" s="95" t="s">
        <v>47</v>
      </c>
      <c r="D50" s="17" t="s">
        <v>48</v>
      </c>
      <c r="E50" s="17" t="s">
        <v>25</v>
      </c>
      <c r="F50" s="17" t="s">
        <v>25</v>
      </c>
      <c r="G50" s="18" t="s">
        <v>74</v>
      </c>
      <c r="H50" s="18" t="s">
        <v>70</v>
      </c>
      <c r="I50" s="18">
        <f>'MERCADO TUSD'!$U$47</f>
        <v>2495.3550000000005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CUSTOS!$M$32)*130.3317</f>
        <v>71.682435000000012</v>
      </c>
      <c r="Z50" s="13">
        <v>0</v>
      </c>
      <c r="AA50" s="13">
        <v>0</v>
      </c>
      <c r="AB50" s="13"/>
      <c r="AC50" s="13">
        <f>(1 - CUSTOS!$M$32)*587.2698</f>
        <v>322.99839000000003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5"/>
      <c r="B51" s="95"/>
      <c r="C51" s="95"/>
      <c r="D51" s="18" t="s">
        <v>49</v>
      </c>
      <c r="E51" s="18" t="s">
        <v>25</v>
      </c>
      <c r="F51" s="18" t="s">
        <v>25</v>
      </c>
      <c r="G51" s="18" t="s">
        <v>74</v>
      </c>
      <c r="H51" s="18" t="s">
        <v>70</v>
      </c>
      <c r="I51" s="18">
        <f>'MERCADO TUSD'!$U$48</f>
        <v>1567.3130000000001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CUSTOS!$M$33)*130.3317</f>
        <v>78.199020000000004</v>
      </c>
      <c r="Z51" s="13">
        <v>0</v>
      </c>
      <c r="AA51" s="13">
        <v>0</v>
      </c>
      <c r="AB51" s="13"/>
      <c r="AC51" s="13">
        <f>(1 - CUSTOS!$M$33)*587.2698</f>
        <v>352.36187999999999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DEFF-FB6E-4974-989D-8F09C3D9EB37}">
  <dimension ref="A1:AP70"/>
  <sheetViews>
    <sheetView showGridLines="0" topLeftCell="D41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77734375" style="9" bestFit="1" customWidth="1"/>
    <col min="15" max="16" width="8.218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10.3320312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10.3320312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1" t="s">
        <v>60</v>
      </c>
      <c r="B1" s="91" t="s">
        <v>61</v>
      </c>
      <c r="C1" s="91" t="s">
        <v>62</v>
      </c>
      <c r="D1" s="91" t="s">
        <v>63</v>
      </c>
      <c r="E1" s="91" t="s">
        <v>64</v>
      </c>
      <c r="F1" s="91" t="s">
        <v>15</v>
      </c>
      <c r="G1" s="91" t="s">
        <v>66</v>
      </c>
      <c r="H1" s="91" t="s">
        <v>67</v>
      </c>
      <c r="I1" s="91" t="s">
        <v>600</v>
      </c>
      <c r="J1" s="84"/>
      <c r="L1" s="92" t="s">
        <v>601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602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499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500</v>
      </c>
      <c r="M3" s="92"/>
      <c r="N3" s="92"/>
      <c r="O3" s="92"/>
      <c r="P3" s="92"/>
      <c r="Q3" s="92"/>
      <c r="R3" s="92"/>
      <c r="S3" s="92"/>
      <c r="T3" s="92"/>
      <c r="U3" s="92" t="s">
        <v>509</v>
      </c>
      <c r="V3" s="92"/>
      <c r="W3" s="92"/>
      <c r="X3" s="92"/>
      <c r="Y3" s="92"/>
      <c r="Z3" s="92"/>
      <c r="AA3" s="92"/>
      <c r="AB3" s="92"/>
      <c r="AC3" s="92" t="s">
        <v>517</v>
      </c>
      <c r="AD3" s="92"/>
      <c r="AE3" s="92" t="s">
        <v>519</v>
      </c>
      <c r="AF3" s="92"/>
      <c r="AG3" s="92"/>
      <c r="AH3" s="92" t="s">
        <v>522</v>
      </c>
      <c r="AI3" s="92"/>
      <c r="AJ3" s="92"/>
      <c r="AK3" s="92"/>
      <c r="AL3" s="92"/>
      <c r="AM3" s="92" t="s">
        <v>508</v>
      </c>
      <c r="AP3" s="93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585</v>
      </c>
      <c r="M4" s="10" t="s">
        <v>501</v>
      </c>
      <c r="N4" s="10" t="s">
        <v>502</v>
      </c>
      <c r="O4" s="10" t="s">
        <v>503</v>
      </c>
      <c r="P4" s="10" t="s">
        <v>504</v>
      </c>
      <c r="Q4" s="10" t="s">
        <v>505</v>
      </c>
      <c r="R4" s="10" t="s">
        <v>506</v>
      </c>
      <c r="S4" s="10" t="s">
        <v>507</v>
      </c>
      <c r="T4" s="10" t="s">
        <v>508</v>
      </c>
      <c r="U4" s="10" t="s">
        <v>510</v>
      </c>
      <c r="V4" s="10" t="s">
        <v>511</v>
      </c>
      <c r="W4" s="10" t="s">
        <v>512</v>
      </c>
      <c r="X4" s="10" t="s">
        <v>513</v>
      </c>
      <c r="Y4" s="10" t="s">
        <v>514</v>
      </c>
      <c r="Z4" s="10" t="s">
        <v>515</v>
      </c>
      <c r="AA4" s="10" t="s">
        <v>516</v>
      </c>
      <c r="AB4" s="10" t="s">
        <v>508</v>
      </c>
      <c r="AC4" s="10" t="s">
        <v>518</v>
      </c>
      <c r="AD4" s="10" t="s">
        <v>508</v>
      </c>
      <c r="AE4" s="10" t="s">
        <v>520</v>
      </c>
      <c r="AF4" s="10" t="s">
        <v>521</v>
      </c>
      <c r="AG4" s="10" t="s">
        <v>508</v>
      </c>
      <c r="AH4" s="10" t="s">
        <v>523</v>
      </c>
      <c r="AI4" s="10" t="s">
        <v>524</v>
      </c>
      <c r="AJ4" s="10" t="s">
        <v>525</v>
      </c>
      <c r="AK4" s="10" t="s">
        <v>526</v>
      </c>
      <c r="AL4" s="10" t="s">
        <v>508</v>
      </c>
      <c r="AM4" s="94"/>
      <c r="AP4" s="93"/>
    </row>
    <row r="5" spans="1:42" ht="11.25" customHeight="1" x14ac:dyDescent="0.3">
      <c r="A5" s="95" t="s">
        <v>37</v>
      </c>
      <c r="B5" s="95" t="s">
        <v>41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76</v>
      </c>
      <c r="H5" s="18" t="s">
        <v>75</v>
      </c>
      <c r="I5" s="18">
        <f>'MERCADO TUSD'!$U$2</f>
        <v>6523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39.968400000000003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141.10939999999999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3">
      <c r="A6" s="95"/>
      <c r="B6" s="95"/>
      <c r="C6" s="95"/>
      <c r="D6" s="95"/>
      <c r="E6" s="95"/>
      <c r="F6" s="95"/>
      <c r="G6" s="18" t="s">
        <v>77</v>
      </c>
      <c r="H6" s="18" t="s">
        <v>75</v>
      </c>
      <c r="I6" s="18">
        <f>'MERCADO TUSD'!$U$3</f>
        <v>6575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16.154699999999998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39.430700000000002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3">
      <c r="A7" s="95"/>
      <c r="B7" s="95"/>
      <c r="C7" s="95"/>
      <c r="D7" s="95"/>
      <c r="E7" s="95"/>
      <c r="F7" s="95"/>
      <c r="G7" s="18" t="s">
        <v>74</v>
      </c>
      <c r="H7" s="18" t="s">
        <v>70</v>
      </c>
      <c r="I7" s="18">
        <f>'MERCADO TUSD'!$U$4</f>
        <v>4102.5690000000004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1.1068191552907432</v>
      </c>
      <c r="N7" s="13">
        <f ca="1">(+M7+O7+R7+U7+V7+W7+X7+Y7+Z7+AA7+AC7+AH7+AI7+AJ7+AK7)*CUSTOS!$M$5</f>
        <v>1.6099019155290743E-13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12.9922</v>
      </c>
      <c r="AI7" s="13">
        <v>0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3">
      <c r="A8" s="95"/>
      <c r="B8" s="95"/>
      <c r="C8" s="95"/>
      <c r="D8" s="95"/>
      <c r="E8" s="17" t="s">
        <v>78</v>
      </c>
      <c r="F8" s="17" t="s">
        <v>25</v>
      </c>
      <c r="G8" s="18" t="s">
        <v>74</v>
      </c>
      <c r="H8" s="18" t="s">
        <v>70</v>
      </c>
      <c r="I8" s="18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1.1068191552907432</v>
      </c>
      <c r="N8" s="13">
        <f ca="1">(+M8+O8+R8+U8+V8+W8+X8+Y8+Z8+AA8+AC8+AH8+AI8+AJ8+AK8)*CUSTOS!$M$5</f>
        <v>1.5099019155290745E-13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12.9922</v>
      </c>
      <c r="AI8" s="13">
        <v>0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3">
      <c r="A9" s="95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75</v>
      </c>
      <c r="I9" s="18">
        <f>'MERCADO TUSD'!$U$6</f>
        <v>0</v>
      </c>
      <c r="J9" s="15"/>
      <c r="L9" s="13">
        <v>0</v>
      </c>
      <c r="M9" s="13">
        <v>1.09E-2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10.703099999999999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75</v>
      </c>
      <c r="I10" s="18">
        <f>'MERCADO TUSD'!$U$7</f>
        <v>18005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16.154699999999998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39.430700000000002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3">
      <c r="A11" s="95"/>
      <c r="B11" s="95"/>
      <c r="C11" s="95"/>
      <c r="D11" s="95"/>
      <c r="E11" s="95"/>
      <c r="F11" s="95"/>
      <c r="G11" s="18" t="s">
        <v>71</v>
      </c>
      <c r="H11" s="18" t="s">
        <v>70</v>
      </c>
      <c r="I11" s="18">
        <f>'MERCADO TUSD'!$U$8</f>
        <v>126.06400000000002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1.1068191552907432</v>
      </c>
      <c r="N11" s="13">
        <f ca="1">(+M11+O11+R11+U11+V11+W11+X11+Y11+Z11+AA11+AC11+AH11+AI11+AJ11+AK11)*CUSTOS!$M$5</f>
        <v>4.3714056191552902E-11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961.62300000000005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3393.6835999999998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12.9922</v>
      </c>
      <c r="AI11" s="13">
        <v>0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3">
      <c r="A12" s="95"/>
      <c r="B12" s="95"/>
      <c r="C12" s="95"/>
      <c r="D12" s="95"/>
      <c r="E12" s="95"/>
      <c r="F12" s="95"/>
      <c r="G12" s="18" t="s">
        <v>72</v>
      </c>
      <c r="H12" s="18" t="s">
        <v>70</v>
      </c>
      <c r="I12" s="18">
        <f>'MERCADO TUSD'!$U$9</f>
        <v>4809.674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1.1068191552907432</v>
      </c>
      <c r="N12" s="13">
        <f ca="1">(+M12+O12+R12+U12+V12+W12+X12+Y12+Z12+AA12+AC12+AH12+AI12+AJ12+AK12)*CUSTOS!$M$5</f>
        <v>1.6099019155290743E-13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12.9922</v>
      </c>
      <c r="AI12" s="13">
        <v>0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3">
      <c r="A13" s="95"/>
      <c r="B13" s="95"/>
      <c r="C13" s="95"/>
      <c r="D13" s="95"/>
      <c r="E13" s="95" t="s">
        <v>78</v>
      </c>
      <c r="F13" s="95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1.1068191552907432</v>
      </c>
      <c r="N13" s="13">
        <f ca="1">(+M13+O13+R13+U13+V13+W13+X13+Y13+Z13+AA13+AC13+AH13+AI13+AJ13+AK13)*CUSTOS!$M$5</f>
        <v>4.37040561915529E-11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961.62300000000005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3393.6835999999998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12.9922</v>
      </c>
      <c r="AI13" s="13">
        <v>0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3">
      <c r="A14" s="95"/>
      <c r="B14" s="95"/>
      <c r="C14" s="95"/>
      <c r="D14" s="95"/>
      <c r="E14" s="95"/>
      <c r="F14" s="95"/>
      <c r="G14" s="18" t="s">
        <v>72</v>
      </c>
      <c r="H14" s="18" t="s">
        <v>70</v>
      </c>
      <c r="I14" s="18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1.1068191552907432</v>
      </c>
      <c r="N14" s="13">
        <f ca="1">(+M14+O14+R14+U14+V14+W14+X14+Y14+Z14+AA14+AC14+AH14+AI14+AJ14+AK14)*CUSTOS!$M$5</f>
        <v>1.5099019155290745E-13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12.9922</v>
      </c>
      <c r="AI14" s="13">
        <v>0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3">
      <c r="A15" s="95" t="s">
        <v>80</v>
      </c>
      <c r="B15" s="95" t="s">
        <v>79</v>
      </c>
      <c r="C15" s="95" t="s">
        <v>25</v>
      </c>
      <c r="D15" s="95" t="s">
        <v>25</v>
      </c>
      <c r="E15" s="17" t="s">
        <v>81</v>
      </c>
      <c r="F15" s="17" t="s">
        <v>25</v>
      </c>
      <c r="G15" s="18" t="s">
        <v>9</v>
      </c>
      <c r="H15" s="18" t="s">
        <v>75</v>
      </c>
      <c r="I15" s="18">
        <f>'MERCADO TUSD'!$U$12+0.00000001</f>
        <v>1E-8</v>
      </c>
      <c r="J15" s="15"/>
      <c r="L15" s="13">
        <v>0</v>
      </c>
      <c r="M15" s="13">
        <v>1.12E-2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18.400300000000001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3">
      <c r="A16" s="95"/>
      <c r="B16" s="95"/>
      <c r="C16" s="95"/>
      <c r="D16" s="95"/>
      <c r="E16" s="17" t="s">
        <v>82</v>
      </c>
      <c r="F16" s="17" t="s">
        <v>25</v>
      </c>
      <c r="G16" s="18" t="s">
        <v>9</v>
      </c>
      <c r="H16" s="18" t="s">
        <v>75</v>
      </c>
      <c r="I16" s="18">
        <f>'MERCADO TUSD'!$U$13+0.00000001</f>
        <v>1E-8</v>
      </c>
      <c r="J16" s="15"/>
      <c r="L16" s="13">
        <v>0</v>
      </c>
      <c r="M16" s="13">
        <v>1.12E-2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37.436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3">
      <c r="A17" s="95" t="s">
        <v>22</v>
      </c>
      <c r="B17" s="95" t="s">
        <v>33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71</v>
      </c>
      <c r="H17" s="18" t="s">
        <v>70</v>
      </c>
      <c r="I17" s="18">
        <f>'MERCADO TUSD'!$U$14</f>
        <v>0.66799999999999993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2.5349001911985511</v>
      </c>
      <c r="N17" s="13">
        <f ca="1">(+M17+O17+R17+U17+V17+W17+X17+Y17+Z17+AA17+AC17+AH17+AI17+AJ17+AK17)*CUSTOS!$M$5</f>
        <v>1.9758699001911983E-11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352.0566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1585.6279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33.650500000000001</v>
      </c>
      <c r="AI17" s="13">
        <v>0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3">
      <c r="A18" s="95"/>
      <c r="B18" s="95"/>
      <c r="C18" s="95"/>
      <c r="D18" s="95"/>
      <c r="E18" s="95"/>
      <c r="F18" s="95"/>
      <c r="G18" s="18" t="s">
        <v>83</v>
      </c>
      <c r="H18" s="18" t="s">
        <v>70</v>
      </c>
      <c r="I18" s="18">
        <f>'MERCADO TUSD'!$U$15</f>
        <v>0.34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2.5349001911985511</v>
      </c>
      <c r="N18" s="13">
        <f ca="1">(+M18+O18+R18+U18+V18+W18+X18+Y18+Z18+AA18+AC18+AH18+AI18+AJ18+AK18)*CUSTOS!$M$5</f>
        <v>1.2007966001911984E-11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211.23400000000001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951.37720000000002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33.650500000000001</v>
      </c>
      <c r="AI18" s="13">
        <v>0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3">
      <c r="A19" s="95"/>
      <c r="B19" s="95"/>
      <c r="C19" s="95"/>
      <c r="D19" s="95"/>
      <c r="E19" s="95"/>
      <c r="F19" s="95"/>
      <c r="G19" s="18" t="s">
        <v>72</v>
      </c>
      <c r="H19" s="18" t="s">
        <v>70</v>
      </c>
      <c r="I19" s="18">
        <f>'MERCADO TUSD'!$U$16</f>
        <v>8.6609999999999996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2.5349001911985511</v>
      </c>
      <c r="N19" s="13">
        <f ca="1">(+M19+O19+R19+U19+V19+W19+X19+Y19+Z19+AA19+AC19+AH19+AI19+AJ19+AK19)*CUSTOS!$M$5</f>
        <v>4.2578640019119857E-12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70.475700000000003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317.12529999999998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33.650500000000001</v>
      </c>
      <c r="AI19" s="13">
        <v>0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74</v>
      </c>
      <c r="H20" s="18" t="s">
        <v>70</v>
      </c>
      <c r="I20" s="18">
        <f>'MERCADO TUSD'!$U$17</f>
        <v>15958.987000000001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2.5349001911985511</v>
      </c>
      <c r="N20" s="13">
        <f ca="1">(+M20+O20+R20+U20+V20+W20+X20+Y20+Z20+AA20+AC20+AH20+AI20+AJ20+AK20)*CUSTOS!$M$5</f>
        <v>7.5578690019119862E-12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130.33170000000001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587.26980000000003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33.650500000000001</v>
      </c>
      <c r="AI20" s="13">
        <v>0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3">
      <c r="A21" s="95"/>
      <c r="B21" s="95"/>
      <c r="C21" s="95"/>
      <c r="D21" s="17" t="s">
        <v>29</v>
      </c>
      <c r="E21" s="17" t="s">
        <v>25</v>
      </c>
      <c r="F21" s="17" t="s">
        <v>25</v>
      </c>
      <c r="G21" s="18" t="s">
        <v>74</v>
      </c>
      <c r="H21" s="18" t="s">
        <v>70</v>
      </c>
      <c r="I21" s="18">
        <f>'MERCADO TUSD'!$U$18</f>
        <v>86.132999999999996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2.5349001911985511</v>
      </c>
      <c r="N21" s="13">
        <f ca="1">(+M21+O21+R21+U21+V21+W21+X21+Y21+Z21+AA21+AC21+AH21+AI21+AJ21+AK21)*CUSTOS!$M$5</f>
        <v>7.547869001911986E-12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130.33170000000001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587.26980000000003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CUSTOS!$M$24)*33.6505</f>
        <v>33.650500000000001</v>
      </c>
      <c r="AI21" s="13">
        <v>0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5"/>
      <c r="B22" s="95"/>
      <c r="C22" s="95"/>
      <c r="D22" s="17" t="s">
        <v>30</v>
      </c>
      <c r="E22" s="17" t="s">
        <v>25</v>
      </c>
      <c r="F22" s="17" t="s">
        <v>25</v>
      </c>
      <c r="G22" s="18" t="s">
        <v>74</v>
      </c>
      <c r="H22" s="18" t="s">
        <v>70</v>
      </c>
      <c r="I22" s="18">
        <f>'MERCADO TUSD'!$U$19</f>
        <v>172.315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2.5349001911985511</v>
      </c>
      <c r="N22" s="13">
        <f ca="1">(+M22+O22+R22+U22+V22+W22+X22+Y22+Z22+AA22+AC22+AH22+AI22+AJ22+AK22)*CUSTOS!$M$5</f>
        <v>7.547869001911986E-12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130.33170000000001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587.26980000000003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CUSTOS!$M$25)*33.6505</f>
        <v>33.650500000000001</v>
      </c>
      <c r="AI22" s="13">
        <v>0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5"/>
      <c r="B23" s="95"/>
      <c r="C23" s="95"/>
      <c r="D23" s="17" t="s">
        <v>31</v>
      </c>
      <c r="E23" s="17" t="s">
        <v>25</v>
      </c>
      <c r="F23" s="17" t="s">
        <v>25</v>
      </c>
      <c r="G23" s="18" t="s">
        <v>74</v>
      </c>
      <c r="H23" s="18" t="s">
        <v>70</v>
      </c>
      <c r="I23" s="18">
        <f>'MERCADO TUSD'!$U$20</f>
        <v>174.131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2.5349001911985511</v>
      </c>
      <c r="N23" s="13">
        <f ca="1">(+M23+O23+R23+U23+V23+W23+X23+Y23+Z23+AA23+AC23+AH23+AI23+AJ23+AK23)*CUSTOS!$M$5</f>
        <v>7.547869001911986E-12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130.33170000000001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587.26980000000003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CUSTOS!$M$26)*33.6505</f>
        <v>33.650500000000001</v>
      </c>
      <c r="AI23" s="13">
        <v>0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5"/>
      <c r="B24" s="95"/>
      <c r="C24" s="95"/>
      <c r="D24" s="17" t="s">
        <v>32</v>
      </c>
      <c r="E24" s="17" t="s">
        <v>25</v>
      </c>
      <c r="F24" s="17" t="s">
        <v>25</v>
      </c>
      <c r="G24" s="18" t="s">
        <v>74</v>
      </c>
      <c r="H24" s="18" t="s">
        <v>70</v>
      </c>
      <c r="I24" s="18">
        <f>'MERCADO TUSD'!$U$21</f>
        <v>71.680000000000007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2.5349001911985511</v>
      </c>
      <c r="N24" s="13">
        <f ca="1">(+M24+O24+R24+U24+V24+W24+X24+Y24+Z24+AA24+AC24+AH24+AI24+AJ24+AK24)*CUSTOS!$M$5</f>
        <v>7.547869001911986E-12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130.33170000000001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587.26980000000003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CUSTOS!$M$27)*33.6505</f>
        <v>33.650500000000001</v>
      </c>
      <c r="AI24" s="13">
        <v>0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5"/>
      <c r="B25" s="95" t="s">
        <v>85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74</v>
      </c>
      <c r="H25" s="18" t="s">
        <v>70</v>
      </c>
      <c r="I25" s="18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2.5349001911985511</v>
      </c>
      <c r="N25" s="13">
        <f ca="1">(+M25+O25+R25+U25+V25+W25+X25+Y25+Z25+AA25+AC25+AH25+AI25+AJ25+AK25)*CUSTOS!$M$5</f>
        <v>7.5578690019119862E-12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130.33170000000001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587.26980000000003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33.650500000000001</v>
      </c>
      <c r="AI25" s="13">
        <v>0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3">
      <c r="A26" s="95"/>
      <c r="B26" s="95"/>
      <c r="C26" s="95"/>
      <c r="D26" s="17" t="s">
        <v>29</v>
      </c>
      <c r="E26" s="17" t="s">
        <v>25</v>
      </c>
      <c r="F26" s="17" t="s">
        <v>25</v>
      </c>
      <c r="G26" s="18" t="s">
        <v>74</v>
      </c>
      <c r="H26" s="18" t="s">
        <v>70</v>
      </c>
      <c r="I26" s="18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2.5349001911985511</v>
      </c>
      <c r="N26" s="13">
        <f ca="1">(+M26+O26+R26+U26+V26+W26+X26+Y26+Z26+AA26+AC26+AH26+AI26+AJ26+AK26)*CUSTOS!$M$5</f>
        <v>7.547869001911986E-12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130.33170000000001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587.26980000000003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CUSTOS!$M$24)*33.6505</f>
        <v>33.650500000000001</v>
      </c>
      <c r="AI26" s="13">
        <v>0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5"/>
      <c r="B27" s="95"/>
      <c r="C27" s="95"/>
      <c r="D27" s="17" t="s">
        <v>30</v>
      </c>
      <c r="E27" s="17" t="s">
        <v>25</v>
      </c>
      <c r="F27" s="17" t="s">
        <v>25</v>
      </c>
      <c r="G27" s="18" t="s">
        <v>74</v>
      </c>
      <c r="H27" s="18" t="s">
        <v>70</v>
      </c>
      <c r="I27" s="18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2.5349001911985511</v>
      </c>
      <c r="N27" s="13">
        <f ca="1">(+M27+O27+R27+U27+V27+W27+X27+Y27+Z27+AA27+AC27+AH27+AI27+AJ27+AK27)*CUSTOS!$M$5</f>
        <v>7.547869001911986E-12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130.33170000000001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587.26980000000003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CUSTOS!$M$25)*33.6505</f>
        <v>33.650500000000001</v>
      </c>
      <c r="AI27" s="13">
        <v>0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5"/>
      <c r="B28" s="95"/>
      <c r="C28" s="95"/>
      <c r="D28" s="17" t="s">
        <v>31</v>
      </c>
      <c r="E28" s="17" t="s">
        <v>25</v>
      </c>
      <c r="F28" s="17" t="s">
        <v>25</v>
      </c>
      <c r="G28" s="18" t="s">
        <v>74</v>
      </c>
      <c r="H28" s="18" t="s">
        <v>70</v>
      </c>
      <c r="I28" s="18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2.5349001911985511</v>
      </c>
      <c r="N28" s="13">
        <f ca="1">(+M28+O28+R28+U28+V28+W28+X28+Y28+Z28+AA28+AC28+AH28+AI28+AJ28+AK28)*CUSTOS!$M$5</f>
        <v>7.547869001911986E-12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130.33170000000001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587.26980000000003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CUSTOS!$M$26)*33.6505</f>
        <v>33.650500000000001</v>
      </c>
      <c r="AI28" s="13">
        <v>0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5"/>
      <c r="B29" s="95"/>
      <c r="C29" s="95"/>
      <c r="D29" s="17" t="s">
        <v>32</v>
      </c>
      <c r="E29" s="17" t="s">
        <v>25</v>
      </c>
      <c r="F29" s="17" t="s">
        <v>25</v>
      </c>
      <c r="G29" s="18" t="s">
        <v>74</v>
      </c>
      <c r="H29" s="18" t="s">
        <v>70</v>
      </c>
      <c r="I29" s="18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2.5349001911985511</v>
      </c>
      <c r="N29" s="13">
        <f ca="1">(+M29+O29+R29+U29+V29+W29+X29+Y29+Z29+AA29+AC29+AH29+AI29+AJ29+AK29)*CUSTOS!$M$5</f>
        <v>7.547869001911986E-12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130.33170000000001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587.26980000000003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CUSTOS!$M$27)*33.6505</f>
        <v>33.650500000000001</v>
      </c>
      <c r="AI29" s="13">
        <v>0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5" t="s">
        <v>43</v>
      </c>
      <c r="B30" s="95" t="s">
        <v>33</v>
      </c>
      <c r="C30" s="95" t="s">
        <v>44</v>
      </c>
      <c r="D30" s="95" t="s">
        <v>25</v>
      </c>
      <c r="E30" s="95" t="s">
        <v>25</v>
      </c>
      <c r="F30" s="95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2.5349001911985511</v>
      </c>
      <c r="N30" s="13">
        <f ca="1">(+M30+O30+R30+U30+V30+W30+X30+Y30+Z30+AA30+AC30+AH30+AI30+AJ30+AK30)*CUSTOS!$M$5</f>
        <v>2.1551257001911987E-11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384.49470000000002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1732.4456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CUSTOS!$M$28)*33.6505</f>
        <v>33.650500000000001</v>
      </c>
      <c r="AI30" s="13">
        <v>0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5"/>
      <c r="B31" s="95"/>
      <c r="C31" s="95"/>
      <c r="D31" s="95"/>
      <c r="E31" s="95"/>
      <c r="F31" s="95"/>
      <c r="G31" s="18" t="s">
        <v>83</v>
      </c>
      <c r="H31" s="18" t="s">
        <v>70</v>
      </c>
      <c r="I31" s="18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2.5349001911985511</v>
      </c>
      <c r="N31" s="13">
        <f ca="1">(+M31+O31+R31+U31+V31+W31+X31+Y31+Z31+AA31+AC31+AH31+AI31+AJ31+AK31)*CUSTOS!$M$5</f>
        <v>1.3083236001911985E-11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230.6711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1039.4671000000001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CUSTOS!$M$28)*33.6505</f>
        <v>33.650500000000001</v>
      </c>
      <c r="AI31" s="13">
        <v>0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5"/>
      <c r="B32" s="95"/>
      <c r="C32" s="95"/>
      <c r="D32" s="95"/>
      <c r="E32" s="95"/>
      <c r="F32" s="95"/>
      <c r="G32" s="18" t="s">
        <v>72</v>
      </c>
      <c r="H32" s="18" t="s">
        <v>70</v>
      </c>
      <c r="I32" s="18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2.5349001911985511</v>
      </c>
      <c r="N32" s="13">
        <f ca="1">(+M32+O32+R32+U32+V32+W32+X32+Y32+Z32+AA32+AC32+AH32+AI32+AJ32+AK32)*CUSTOS!$M$5</f>
        <v>4.6152190019119856E-12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76.847499999999997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346.48899999999998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CUSTOS!$M$28)*33.6505</f>
        <v>33.650500000000001</v>
      </c>
      <c r="AI32" s="13">
        <v>0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5"/>
      <c r="B33" s="17" t="s">
        <v>23</v>
      </c>
      <c r="C33" s="17" t="s">
        <v>44</v>
      </c>
      <c r="D33" s="17" t="s">
        <v>25</v>
      </c>
      <c r="E33" s="17" t="s">
        <v>25</v>
      </c>
      <c r="F33" s="17" t="s">
        <v>25</v>
      </c>
      <c r="G33" s="18" t="s">
        <v>74</v>
      </c>
      <c r="H33" s="18" t="s">
        <v>70</v>
      </c>
      <c r="I33" s="18">
        <f>'MERCADO TUSD'!$U$30</f>
        <v>19400.674999999996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2.5349001911985511</v>
      </c>
      <c r="N33" s="13">
        <f ca="1">(+M33+O33+R33+U33+V33+W33+X33+Y33+Z33+AA33+AC33+AH33+AI33+AJ33+AK33)*CUSTOS!$M$5</f>
        <v>7.5578690019119862E-12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130.33170000000001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587.26980000000003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CUSTOS!$M$28)*33.6505</f>
        <v>33.650500000000001</v>
      </c>
      <c r="AI33" s="13">
        <v>0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5"/>
      <c r="B34" s="95" t="s">
        <v>33</v>
      </c>
      <c r="C34" s="95" t="s">
        <v>44</v>
      </c>
      <c r="D34" s="95" t="s">
        <v>86</v>
      </c>
      <c r="E34" s="95" t="s">
        <v>25</v>
      </c>
      <c r="F34" s="95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2.5349001911985511</v>
      </c>
      <c r="N34" s="13">
        <f ca="1">(+M34+O34+R34+U34+V34+W34+X34+Y34+Z34+AA34+AC34+AH34+AI34+AJ34+AK34)*CUSTOS!$M$5</f>
        <v>2.1551257001911987E-11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384.49470000000002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1732.4456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CUSTOS!$M$29)*33.6505</f>
        <v>33.650500000000001</v>
      </c>
      <c r="AI34" s="13">
        <v>0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5"/>
      <c r="B35" s="95"/>
      <c r="C35" s="95"/>
      <c r="D35" s="95"/>
      <c r="E35" s="95"/>
      <c r="F35" s="95"/>
      <c r="G35" s="18" t="s">
        <v>83</v>
      </c>
      <c r="H35" s="18" t="s">
        <v>70</v>
      </c>
      <c r="I35" s="18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2.5349001911985511</v>
      </c>
      <c r="N35" s="13">
        <f ca="1">(+M35+O35+R35+U35+V35+W35+X35+Y35+Z35+AA35+AC35+AH35+AI35+AJ35+AK35)*CUSTOS!$M$5</f>
        <v>1.3083236001911985E-11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230.6711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1039.4671000000001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CUSTOS!$M$29)*33.6505</f>
        <v>33.650500000000001</v>
      </c>
      <c r="AI35" s="13">
        <v>0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5"/>
      <c r="B36" s="95"/>
      <c r="C36" s="95"/>
      <c r="D36" s="95"/>
      <c r="E36" s="95"/>
      <c r="F36" s="95"/>
      <c r="G36" s="18" t="s">
        <v>72</v>
      </c>
      <c r="H36" s="18" t="s">
        <v>70</v>
      </c>
      <c r="I36" s="18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2.5349001911985511</v>
      </c>
      <c r="N36" s="13">
        <f ca="1">(+M36+O36+R36+U36+V36+W36+X36+Y36+Z36+AA36+AC36+AH36+AI36+AJ36+AK36)*CUSTOS!$M$5</f>
        <v>4.6152190019119856E-12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76.847499999999997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346.48899999999998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CUSTOS!$M$29)*33.6505</f>
        <v>33.650500000000001</v>
      </c>
      <c r="AI36" s="13">
        <v>0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5"/>
      <c r="B37" s="17" t="s">
        <v>23</v>
      </c>
      <c r="C37" s="17" t="s">
        <v>44</v>
      </c>
      <c r="D37" s="17" t="s">
        <v>86</v>
      </c>
      <c r="E37" s="17" t="s">
        <v>25</v>
      </c>
      <c r="F37" s="17" t="s">
        <v>25</v>
      </c>
      <c r="G37" s="18" t="s">
        <v>74</v>
      </c>
      <c r="H37" s="18" t="s">
        <v>70</v>
      </c>
      <c r="I37" s="18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2.5349001911985511</v>
      </c>
      <c r="N37" s="13">
        <f ca="1">(+M37+O37+R37+U37+V37+W37+X37+Y37+Z37+AA37+AC37+AH37+AI37+AJ37+AK37)*CUSTOS!$M$5</f>
        <v>7.5578690019119862E-12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130.33170000000001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587.26980000000003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CUSTOS!$M$29)*33.6505</f>
        <v>33.650500000000001</v>
      </c>
      <c r="AI37" s="13">
        <v>0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5"/>
      <c r="B38" s="95" t="s">
        <v>33</v>
      </c>
      <c r="C38" s="95" t="s">
        <v>44</v>
      </c>
      <c r="D38" s="95" t="s">
        <v>87</v>
      </c>
      <c r="E38" s="95" t="s">
        <v>25</v>
      </c>
      <c r="F38" s="95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2.5349001911985511</v>
      </c>
      <c r="N38" s="13">
        <f ca="1">(+M38+O38+R38+U38+V38+W38+X38+Y38+Z38+AA38+AC38+AH38+AI38+AJ38+AK38)*CUSTOS!$M$5</f>
        <v>2.1551257001911987E-11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384.49470000000002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1732.4456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CUSTOS!$M$30)*33.6505</f>
        <v>33.650500000000001</v>
      </c>
      <c r="AI38" s="13">
        <v>0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5"/>
      <c r="B39" s="95"/>
      <c r="C39" s="95"/>
      <c r="D39" s="95"/>
      <c r="E39" s="95"/>
      <c r="F39" s="95"/>
      <c r="G39" s="18" t="s">
        <v>83</v>
      </c>
      <c r="H39" s="18" t="s">
        <v>70</v>
      </c>
      <c r="I39" s="18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2.5349001911985511</v>
      </c>
      <c r="N39" s="13">
        <f ca="1">(+M39+O39+R39+U39+V39+W39+X39+Y39+Z39+AA39+AC39+AH39+AI39+AJ39+AK39)*CUSTOS!$M$5</f>
        <v>1.3083236001911985E-11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230.6711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1039.4671000000001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CUSTOS!$M$30)*33.6505</f>
        <v>33.650500000000001</v>
      </c>
      <c r="AI39" s="13">
        <v>0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5"/>
      <c r="B40" s="95"/>
      <c r="C40" s="95"/>
      <c r="D40" s="95"/>
      <c r="E40" s="95"/>
      <c r="F40" s="95"/>
      <c r="G40" s="18" t="s">
        <v>72</v>
      </c>
      <c r="H40" s="18" t="s">
        <v>70</v>
      </c>
      <c r="I40" s="18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2.5349001911985511</v>
      </c>
      <c r="N40" s="13">
        <f ca="1">(+M40+O40+R40+U40+V40+W40+X40+Y40+Z40+AA40+AC40+AH40+AI40+AJ40+AK40)*CUSTOS!$M$5</f>
        <v>4.6152190019119856E-12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76.847499999999997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346.48899999999998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CUSTOS!$M$30)*33.6505</f>
        <v>33.650500000000001</v>
      </c>
      <c r="AI40" s="13">
        <v>0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5"/>
      <c r="B41" s="17" t="s">
        <v>23</v>
      </c>
      <c r="C41" s="17" t="s">
        <v>44</v>
      </c>
      <c r="D41" s="17" t="s">
        <v>87</v>
      </c>
      <c r="E41" s="17" t="s">
        <v>25</v>
      </c>
      <c r="F41" s="17" t="s">
        <v>25</v>
      </c>
      <c r="G41" s="18" t="s">
        <v>74</v>
      </c>
      <c r="H41" s="18" t="s">
        <v>70</v>
      </c>
      <c r="I41" s="18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2.5349001911985511</v>
      </c>
      <c r="N41" s="13">
        <f ca="1">(+M41+O41+R41+U41+V41+W41+X41+Y41+Z41+AA41+AC41+AH41+AI41+AJ41+AK41)*CUSTOS!$M$5</f>
        <v>7.5578690019119862E-12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130.33170000000001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587.26980000000003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CUSTOS!$M$30)*33.6505</f>
        <v>33.650500000000001</v>
      </c>
      <c r="AI41" s="13">
        <v>0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5"/>
      <c r="B42" s="95" t="s">
        <v>85</v>
      </c>
      <c r="C42" s="95" t="s">
        <v>44</v>
      </c>
      <c r="D42" s="17" t="s">
        <v>25</v>
      </c>
      <c r="E42" s="17" t="s">
        <v>25</v>
      </c>
      <c r="F42" s="17" t="s">
        <v>25</v>
      </c>
      <c r="G42" s="18" t="s">
        <v>74</v>
      </c>
      <c r="H42" s="18" t="s">
        <v>70</v>
      </c>
      <c r="I42" s="18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2.5349001911985511</v>
      </c>
      <c r="N42" s="13">
        <f ca="1">(+M42+O42+R42+U42+V42+W42+X42+Y42+Z42+AA42+AC42+AH42+AI42+AJ42+AK42)*CUSTOS!$M$5</f>
        <v>7.5578690019119862E-12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130.33170000000001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587.26980000000003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CUSTOS!$M$28)*33.6505</f>
        <v>33.650500000000001</v>
      </c>
      <c r="AI42" s="13">
        <v>0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5"/>
      <c r="B43" s="95"/>
      <c r="C43" s="95"/>
      <c r="D43" s="17" t="s">
        <v>86</v>
      </c>
      <c r="E43" s="17" t="s">
        <v>25</v>
      </c>
      <c r="F43" s="17" t="s">
        <v>25</v>
      </c>
      <c r="G43" s="18" t="s">
        <v>74</v>
      </c>
      <c r="H43" s="18" t="s">
        <v>70</v>
      </c>
      <c r="I43" s="18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2.5349001911985511</v>
      </c>
      <c r="N43" s="13">
        <f ca="1">(+M43+O43+R43+U43+V43+W43+X43+Y43+Z43+AA43+AC43+AH43+AI43+AJ43+AK43)*CUSTOS!$M$5</f>
        <v>7.5578690019119862E-12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130.33170000000001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587.26980000000003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CUSTOS!$M$29)*33.6505</f>
        <v>33.650500000000001</v>
      </c>
      <c r="AI43" s="13">
        <v>0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5"/>
      <c r="B44" s="95"/>
      <c r="C44" s="95"/>
      <c r="D44" s="17" t="s">
        <v>87</v>
      </c>
      <c r="E44" s="17" t="s">
        <v>25</v>
      </c>
      <c r="F44" s="17" t="s">
        <v>25</v>
      </c>
      <c r="G44" s="18" t="s">
        <v>74</v>
      </c>
      <c r="H44" s="18" t="s">
        <v>70</v>
      </c>
      <c r="I44" s="18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2.5349001911985511</v>
      </c>
      <c r="N44" s="13">
        <f ca="1">(+M44+O44+R44+U44+V44+W44+X44+Y44+Z44+AA44+AC44+AH44+AI44+AJ44+AK44)*CUSTOS!$M$5</f>
        <v>7.5578690019119862E-12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130.33170000000001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587.26980000000003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CUSTOS!$M$30)*33.6505</f>
        <v>33.650500000000001</v>
      </c>
      <c r="AI44" s="13">
        <v>0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5" t="s">
        <v>35</v>
      </c>
      <c r="B45" s="95" t="s">
        <v>33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71</v>
      </c>
      <c r="H45" s="18" t="s">
        <v>70</v>
      </c>
      <c r="I45" s="18">
        <f>'MERCADO TUSD'!$U$42</f>
        <v>0.746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2.5349001911985511</v>
      </c>
      <c r="N45" s="13">
        <f ca="1">(+M45+O45+R45+U45+V45+W45+X45+Y45+Z45+AA45+AC45+AH45+AI45+AJ45+AK45)*CUSTOS!$M$5</f>
        <v>2.5140224001911989E-11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449.75709999999998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2026.0799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CUSTOS!$M$31)*33.6505</f>
        <v>33.650500000000001</v>
      </c>
      <c r="AI45" s="13">
        <v>0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5"/>
      <c r="B46" s="95"/>
      <c r="C46" s="95"/>
      <c r="D46" s="95"/>
      <c r="E46" s="95"/>
      <c r="F46" s="95"/>
      <c r="G46" s="18" t="s">
        <v>83</v>
      </c>
      <c r="H46" s="18" t="s">
        <v>70</v>
      </c>
      <c r="I46" s="18">
        <f>'MERCADO TUSD'!$U$43</f>
        <v>0.45699999999999996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2.5349001911985511</v>
      </c>
      <c r="N46" s="13">
        <f ca="1">(+M46+O46+R46+U46+V46+W46+X46+Y46+Z46+AA46+AC46+AH46+AI46+AJ46+AK46)*CUSTOS!$M$5</f>
        <v>1.5236360001911985E-11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269.80279999999999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1215.6478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CUSTOS!$M$31)*33.6505</f>
        <v>33.650500000000001</v>
      </c>
      <c r="AI46" s="13">
        <v>0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5"/>
      <c r="B47" s="95"/>
      <c r="C47" s="95"/>
      <c r="D47" s="95"/>
      <c r="E47" s="95"/>
      <c r="F47" s="95"/>
      <c r="G47" s="18" t="s">
        <v>72</v>
      </c>
      <c r="H47" s="18" t="s">
        <v>70</v>
      </c>
      <c r="I47" s="18">
        <f>'MERCADO TUSD'!$U$44</f>
        <v>6.4780000000000006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2.5349001911985511</v>
      </c>
      <c r="N47" s="13">
        <f ca="1">(+M47+O47+R47+U47+V47+W47+X47+Y47+Z47+AA47+AC47+AH47+AI47+AJ47+AK47)*CUSTOS!$M$5</f>
        <v>5.3331460019119854E-12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89.912800000000004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405.21640000000002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CUSTOS!$M$31)*33.6505</f>
        <v>33.650500000000001</v>
      </c>
      <c r="AI47" s="13">
        <v>0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74</v>
      </c>
      <c r="H48" s="18" t="s">
        <v>70</v>
      </c>
      <c r="I48" s="18">
        <f>'MERCADO TUSD'!$U$45</f>
        <v>2717.4190000000003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2.5349001911985511</v>
      </c>
      <c r="N48" s="13">
        <f ca="1">(+M48+O48+R48+U48+V48+W48+X48+Y48+Z48+AA48+AC48+AH48+AI48+AJ48+AK48)*CUSTOS!$M$5</f>
        <v>7.5578690019119862E-12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130.33170000000001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587.26980000000003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CUSTOS!$M$31)*33.6505</f>
        <v>33.650500000000001</v>
      </c>
      <c r="AI48" s="13">
        <v>0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5"/>
      <c r="B49" s="17" t="s">
        <v>85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74</v>
      </c>
      <c r="H49" s="18" t="s">
        <v>70</v>
      </c>
      <c r="I49" s="18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2.5349001911985511</v>
      </c>
      <c r="N49" s="13">
        <f ca="1">(+M49+O49+R49+U49+V49+W49+X49+Y49+Z49+AA49+AC49+AH49+AI49+AJ49+AK49)*CUSTOS!$M$5</f>
        <v>7.5578690019119862E-12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130.33170000000001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587.26980000000003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CUSTOS!$M$31)*33.6505</f>
        <v>33.650500000000001</v>
      </c>
      <c r="AI49" s="13">
        <v>0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5" t="s">
        <v>46</v>
      </c>
      <c r="B50" s="95" t="s">
        <v>23</v>
      </c>
      <c r="C50" s="95" t="s">
        <v>47</v>
      </c>
      <c r="D50" s="17" t="s">
        <v>48</v>
      </c>
      <c r="E50" s="17" t="s">
        <v>25</v>
      </c>
      <c r="F50" s="17" t="s">
        <v>25</v>
      </c>
      <c r="G50" s="18" t="s">
        <v>74</v>
      </c>
      <c r="H50" s="18" t="s">
        <v>70</v>
      </c>
      <c r="I50" s="18">
        <f>'MERCADO TUSD'!$U$47</f>
        <v>2495.3550000000005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1.3941951051592032</v>
      </c>
      <c r="N50" s="13">
        <f ca="1">(+M50+O50+R50+U50+V50+W50+X50+Y50+Z50+AA50+AC50+AH50+AI50+AJ50+AK50)*CUSTOS!$M$5</f>
        <v>4.1568279510515923E-12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71.682435000000012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322.99839000000003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CUSTOS!$M$32)*33.6505</f>
        <v>18.507775000000002</v>
      </c>
      <c r="AI50" s="13">
        <v>0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5"/>
      <c r="B51" s="95"/>
      <c r="C51" s="95"/>
      <c r="D51" s="18" t="s">
        <v>49</v>
      </c>
      <c r="E51" s="18" t="s">
        <v>25</v>
      </c>
      <c r="F51" s="18" t="s">
        <v>25</v>
      </c>
      <c r="G51" s="18" t="s">
        <v>74</v>
      </c>
      <c r="H51" s="18" t="s">
        <v>70</v>
      </c>
      <c r="I51" s="18">
        <f>'MERCADO TUSD'!$U$48</f>
        <v>1567.3130000000001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1.5209401147191306</v>
      </c>
      <c r="N51" s="13">
        <f ca="1">(+M51+O51+R51+U51+V51+W51+X51+Y51+Z51+AA51+AC51+AH51+AI51+AJ51+AK51)*CUSTOS!$M$5</f>
        <v>4.5347214011471907E-12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78.199020000000004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352.36187999999999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CUSTOS!$M$33)*33.6505</f>
        <v>20.190300000000001</v>
      </c>
      <c r="AI51" s="13">
        <v>0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3">
      <c r="K53" s="16" t="s">
        <v>603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3">
      <c r="K54" s="16" t="s">
        <v>604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3">
      <c r="K55" s="16" t="s">
        <v>605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47999.441929999994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113710.39892066756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3.1612773737380867E-7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49949.830049999997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49445.571049999999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47999.441929999994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49445.571049999999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49949.830049999997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6110788.191973784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26342218.668187547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1494120.6985994249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0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3">
      <c r="K56" s="16" t="s">
        <v>541</v>
      </c>
      <c r="L56" s="13">
        <f>CUSTOS!$D$2</f>
        <v>0</v>
      </c>
      <c r="M56" s="13">
        <f>CUSTOS!$D$3</f>
        <v>118146.05586998828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4445152.1190699972</v>
      </c>
      <c r="R56" s="13">
        <f>CUSTOS!$D$8</f>
        <v>723391.08677999966</v>
      </c>
      <c r="S56" s="13">
        <f>CUSTOS!$D$9</f>
        <v>0</v>
      </c>
      <c r="T56" s="13">
        <f>CUSTOS!$D$10</f>
        <v>5286689.2617199849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7250869.556640001</v>
      </c>
      <c r="Z56" s="13">
        <f>Z54</f>
        <v>0</v>
      </c>
      <c r="AA56" s="13">
        <f>AA54</f>
        <v>0</v>
      </c>
      <c r="AB56" s="13">
        <f>CUSTOS!$D$18</f>
        <v>7250869.556640001</v>
      </c>
      <c r="AC56" s="13">
        <f>CUSTOS!$D$19</f>
        <v>29224737.75</v>
      </c>
      <c r="AD56" s="13">
        <f>CUSTOS!$D$20</f>
        <v>29224737.75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1353959.4251748875</v>
      </c>
      <c r="AI56" s="13">
        <f>CUSTOS!$D$25</f>
        <v>0</v>
      </c>
      <c r="AJ56" s="13">
        <f>CUSTOS!$D$26</f>
        <v>0</v>
      </c>
      <c r="AK56" s="13">
        <f>CUSTOS!$D$27</f>
        <v>0</v>
      </c>
      <c r="AL56" s="13">
        <f>CUSTOS!$D$28</f>
        <v>1353959.4251748875</v>
      </c>
      <c r="AM56" s="13">
        <f>CUSTOS!$D$29</f>
        <v>43116255.99353487</v>
      </c>
    </row>
    <row r="57" spans="1:42" ht="11.25" customHeight="1" x14ac:dyDescent="0.3">
      <c r="K57" s="16" t="s">
        <v>542</v>
      </c>
      <c r="L57" s="13">
        <f>CUSTOS!$E$2</f>
        <v>0</v>
      </c>
      <c r="M57" s="13">
        <f>CUSTOS!$E$3</f>
        <v>-1345.2444493490764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-38909.608864024849</v>
      </c>
      <c r="R57" s="13">
        <f>CUSTOS!$E$8</f>
        <v>-6436.7217552921993</v>
      </c>
      <c r="S57" s="13">
        <f>CUSTOS!$E$9</f>
        <v>0</v>
      </c>
      <c r="T57" s="13">
        <f>CUSTOS!$E$10</f>
        <v>-46691.575068666127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-1289202.8707747674</v>
      </c>
      <c r="Z57" s="13">
        <f>CUSTOS!$E$16</f>
        <v>0</v>
      </c>
      <c r="AA57" s="13">
        <f>CUSTOS!$E$17</f>
        <v>0</v>
      </c>
      <c r="AB57" s="13">
        <f>CUSTOS!$E$18</f>
        <v>-1289202.8707747674</v>
      </c>
      <c r="AC57" s="13">
        <f>CUSTOS!$E$19</f>
        <v>-17867394.383257363</v>
      </c>
      <c r="AD57" s="13">
        <f>CUSTOS!$E$20</f>
        <v>-17867394.383257363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-21537.922799824173</v>
      </c>
      <c r="AI57" s="13">
        <f>CUSTOS!$E$25</f>
        <v>0</v>
      </c>
      <c r="AJ57" s="13">
        <f>CUSTOS!$E$26</f>
        <v>0</v>
      </c>
      <c r="AK57" s="13">
        <f>CUSTOS!$E$27</f>
        <v>0</v>
      </c>
      <c r="AL57" s="13">
        <f>CUSTOS!$E$28</f>
        <v>-21537.922799824173</v>
      </c>
      <c r="AM57" s="13">
        <f>CUSTOS!$E$29</f>
        <v>-19224826.751900621</v>
      </c>
    </row>
    <row r="58" spans="1:42" ht="11.25" customHeight="1" x14ac:dyDescent="0.3">
      <c r="K58" s="16" t="s">
        <v>543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3">
      <c r="K59" s="16" t="s">
        <v>606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3">
      <c r="K60" s="16" t="s">
        <v>607</v>
      </c>
      <c r="L60" s="13">
        <f t="shared" ref="L60:S60" si="1">IF((L55+L53)&lt;&gt;0,(L56-L54-L59)/(L55+L53),0)</f>
        <v>0</v>
      </c>
      <c r="M60" s="13">
        <f t="shared" si="1"/>
        <v>1.0390083667933954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92.608412521807793</v>
      </c>
      <c r="R60" s="13">
        <f t="shared" si="1"/>
        <v>14.630048180624657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1.1865686272948648</v>
      </c>
      <c r="Z60" s="13"/>
      <c r="AA60" s="13"/>
      <c r="AB60" s="13"/>
      <c r="AC60" s="13">
        <f>IF(AC55&lt;&gt;0,(AC56-AC54-AC53-AC59)/AC55,0)</f>
        <v>1.1094258277224598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0.90619146528394712</v>
      </c>
      <c r="AI60" s="13">
        <f>IF(AI55&lt;&gt;0,(AI56-AI54-AI53-AI59)/AI55,0)</f>
        <v>0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3">
      <c r="K62" s="19" t="s">
        <v>611</v>
      </c>
      <c r="L62" s="19" t="s">
        <v>612</v>
      </c>
      <c r="M62" s="19" t="s">
        <v>613</v>
      </c>
      <c r="N62" s="19" t="s">
        <v>614</v>
      </c>
      <c r="O62" s="19" t="s">
        <v>615</v>
      </c>
      <c r="P62" s="19" t="s">
        <v>616</v>
      </c>
    </row>
    <row r="63" spans="1:42" ht="11.25" customHeight="1" x14ac:dyDescent="0.3">
      <c r="K63" s="18" t="s">
        <v>37</v>
      </c>
      <c r="L63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4447577.0066299327</v>
      </c>
      <c r="M63" s="18">
        <f>+'TUSD BE'!$I$7+'TUSD BE'!$I$8+'TUSD BE'!$I$11+'TUSD BE'!$I$12+'TUSD BE'!$I$13+'TUSD BE'!$I$14</f>
        <v>9038.3070000000007</v>
      </c>
      <c r="N63" s="18">
        <f ca="1">IF(AND($L$70&lt;&gt;0,M63&lt;&gt;0),(L63/$L$70*$AJ$56)/M63,0)</f>
        <v>0</v>
      </c>
      <c r="O63" s="18"/>
      <c r="P63" s="18"/>
    </row>
    <row r="64" spans="1:42" ht="11.25" customHeight="1" x14ac:dyDescent="0.3">
      <c r="K64" s="18" t="s">
        <v>80</v>
      </c>
      <c r="L64" s="18">
        <f ca="1">+$L$65+$L$66+$L$67+$L$68+$L$69</f>
        <v>38668678.986904323</v>
      </c>
      <c r="M64" s="18">
        <f>+$M$65+$M$66+$M$67+$M$68+$M$69</f>
        <v>42661.357999999993</v>
      </c>
      <c r="N64" s="18">
        <f ca="1">IF(AND($L$70&lt;&gt;0,M64&lt;&gt;0),(L64/$L$70*$AJ$56)/M64,0)</f>
        <v>0</v>
      </c>
      <c r="O64" s="18"/>
      <c r="P64" s="18"/>
    </row>
    <row r="65" spans="11:16" ht="11.25" customHeight="1" x14ac:dyDescent="0.3">
      <c r="K65" s="18" t="s">
        <v>80</v>
      </c>
      <c r="L65" s="18"/>
      <c r="M65" s="18"/>
      <c r="N65" s="18">
        <f ca="1">IF(AND($L$70&lt;&gt;0,M65&lt;&gt;0),(L65/$L$70*$AJ$56)/M65,0)</f>
        <v>0</v>
      </c>
      <c r="O65" s="18"/>
      <c r="P65" s="18"/>
    </row>
    <row r="66" spans="11:16" ht="11.25" customHeight="1" x14ac:dyDescent="0.3">
      <c r="K66" s="18" t="s">
        <v>22</v>
      </c>
      <c r="L66" s="18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15536167.759800084</v>
      </c>
      <c r="M66" s="18">
        <f>+'TUSD BE'!$I$17+'TUSD BE'!$I$18+'TUSD BE'!$I$19+'TUSD BE'!$I$20+'TUSD BE'!$I$21+'TUSD BE'!$I$22+'TUSD BE'!$I$23+'TUSD BE'!$I$24+'TUSD BE'!$I$25+'TUSD BE'!$I$26+'TUSD BE'!$I$27+'TUSD BE'!$I$28+'TUSD BE'!$I$29</f>
        <v>16472.915000000001</v>
      </c>
      <c r="N66" s="18"/>
      <c r="O66" s="18"/>
      <c r="P66" s="18"/>
    </row>
    <row r="67" spans="11:16" ht="11.25" customHeight="1" x14ac:dyDescent="0.3">
      <c r="K67" s="18" t="s">
        <v>43</v>
      </c>
      <c r="L67" s="18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18363628.009493671</v>
      </c>
      <c r="M67" s="18">
        <f>+'TUSD BE'!$I$30+'TUSD BE'!$I$31+'TUSD BE'!$I$32+'TUSD BE'!$I$33+'TUSD BE'!$I$34+'TUSD BE'!$I$35+'TUSD BE'!$I$36+'TUSD BE'!$I$37+'TUSD BE'!$I$38+'TUSD BE'!$I$39+'TUSD BE'!$I$40+'TUSD BE'!$I$41+'TUSD BE'!$I$42+'TUSD BE'!$I$43+'TUSD BE'!$I$44</f>
        <v>19400.674999999996</v>
      </c>
      <c r="N67" s="18"/>
      <c r="O67" s="18"/>
      <c r="P67" s="18"/>
    </row>
    <row r="68" spans="11:16" ht="11.25" customHeight="1" x14ac:dyDescent="0.3">
      <c r="K68" s="18" t="s">
        <v>35</v>
      </c>
      <c r="L68" s="18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2579680.7399512772</v>
      </c>
      <c r="M68" s="18">
        <f>+'TUSD BE'!$I$45+'TUSD BE'!$I$46+'TUSD BE'!$I$47+'TUSD BE'!$I$48+'TUSD BE'!$I$49</f>
        <v>2725.1000000000004</v>
      </c>
      <c r="N68" s="18"/>
      <c r="O68" s="18"/>
      <c r="P68" s="18"/>
    </row>
    <row r="69" spans="11:16" ht="11.25" customHeight="1" x14ac:dyDescent="0.3">
      <c r="K69" s="18" t="s">
        <v>46</v>
      </c>
      <c r="L69" s="18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2189202.4776592925</v>
      </c>
      <c r="M69" s="18">
        <f>+'TUSD BE'!$I$50+'TUSD BE'!$I$51</f>
        <v>4062.6680000000006</v>
      </c>
      <c r="N69" s="18"/>
      <c r="O69" s="18"/>
      <c r="P69" s="18"/>
    </row>
    <row r="70" spans="11:16" ht="11.25" customHeight="1" x14ac:dyDescent="0.3">
      <c r="K70" s="18"/>
      <c r="L70" s="18">
        <f ca="1">SUM($L$63:$L$69,-$L$64)</f>
        <v>43116255.993534267</v>
      </c>
      <c r="M70" s="18">
        <f>SUM($M$63:$M$69,-$M$64)</f>
        <v>51699.664999999994</v>
      </c>
      <c r="N70" s="18"/>
      <c r="O70" s="18"/>
      <c r="P70" s="18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8C66-CA8D-47CB-87F9-80F6543EE031}">
  <dimension ref="A1:AP58"/>
  <sheetViews>
    <sheetView showGridLines="0" topLeftCell="X41" workbookViewId="0">
      <selection activeCell="AM53" sqref="AM53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886718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10.3320312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10.3320312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1" t="s">
        <v>60</v>
      </c>
      <c r="B1" s="91" t="s">
        <v>61</v>
      </c>
      <c r="C1" s="91" t="s">
        <v>62</v>
      </c>
      <c r="D1" s="91" t="s">
        <v>63</v>
      </c>
      <c r="E1" s="91" t="s">
        <v>64</v>
      </c>
      <c r="F1" s="91" t="s">
        <v>15</v>
      </c>
      <c r="G1" s="91" t="s">
        <v>66</v>
      </c>
      <c r="H1" s="91" t="s">
        <v>67</v>
      </c>
      <c r="I1" s="91" t="s">
        <v>600</v>
      </c>
      <c r="J1" s="84"/>
      <c r="L1" s="92" t="s">
        <v>608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602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499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500</v>
      </c>
      <c r="M3" s="92"/>
      <c r="N3" s="92"/>
      <c r="O3" s="92"/>
      <c r="P3" s="92"/>
      <c r="Q3" s="92"/>
      <c r="R3" s="92"/>
      <c r="S3" s="92"/>
      <c r="T3" s="92"/>
      <c r="U3" s="92" t="s">
        <v>509</v>
      </c>
      <c r="V3" s="92"/>
      <c r="W3" s="92"/>
      <c r="X3" s="92"/>
      <c r="Y3" s="92"/>
      <c r="Z3" s="92"/>
      <c r="AA3" s="92"/>
      <c r="AB3" s="92"/>
      <c r="AC3" s="92" t="s">
        <v>517</v>
      </c>
      <c r="AD3" s="92"/>
      <c r="AE3" s="92" t="s">
        <v>519</v>
      </c>
      <c r="AF3" s="92"/>
      <c r="AG3" s="92"/>
      <c r="AH3" s="92" t="s">
        <v>522</v>
      </c>
      <c r="AI3" s="92"/>
      <c r="AJ3" s="92"/>
      <c r="AK3" s="92"/>
      <c r="AL3" s="92"/>
      <c r="AM3" s="92" t="s">
        <v>508</v>
      </c>
      <c r="AP3" s="93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585</v>
      </c>
      <c r="M4" s="10" t="s">
        <v>501</v>
      </c>
      <c r="N4" s="10" t="s">
        <v>502</v>
      </c>
      <c r="O4" s="10" t="s">
        <v>503</v>
      </c>
      <c r="P4" s="10" t="s">
        <v>504</v>
      </c>
      <c r="Q4" s="10" t="s">
        <v>505</v>
      </c>
      <c r="R4" s="10" t="s">
        <v>506</v>
      </c>
      <c r="S4" s="10" t="s">
        <v>507</v>
      </c>
      <c r="T4" s="10" t="s">
        <v>508</v>
      </c>
      <c r="U4" s="10" t="s">
        <v>510</v>
      </c>
      <c r="V4" s="10" t="s">
        <v>511</v>
      </c>
      <c r="W4" s="10" t="s">
        <v>512</v>
      </c>
      <c r="X4" s="10" t="s">
        <v>513</v>
      </c>
      <c r="Y4" s="10" t="s">
        <v>514</v>
      </c>
      <c r="Z4" s="10" t="s">
        <v>515</v>
      </c>
      <c r="AA4" s="10" t="s">
        <v>516</v>
      </c>
      <c r="AB4" s="10" t="s">
        <v>508</v>
      </c>
      <c r="AC4" s="10" t="s">
        <v>518</v>
      </c>
      <c r="AD4" s="10" t="s">
        <v>508</v>
      </c>
      <c r="AE4" s="10" t="s">
        <v>520</v>
      </c>
      <c r="AF4" s="10" t="s">
        <v>521</v>
      </c>
      <c r="AG4" s="10" t="s">
        <v>508</v>
      </c>
      <c r="AH4" s="10" t="s">
        <v>523</v>
      </c>
      <c r="AI4" s="10" t="s">
        <v>524</v>
      </c>
      <c r="AJ4" s="10" t="s">
        <v>525</v>
      </c>
      <c r="AK4" s="10" t="s">
        <v>526</v>
      </c>
      <c r="AL4" s="10" t="s">
        <v>508</v>
      </c>
      <c r="AM4" s="94"/>
      <c r="AP4" s="93"/>
    </row>
    <row r="5" spans="1:42" ht="11.25" customHeight="1" x14ac:dyDescent="0.3">
      <c r="A5" s="95" t="s">
        <v>37</v>
      </c>
      <c r="B5" s="95" t="s">
        <v>41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76</v>
      </c>
      <c r="H5" s="18" t="s">
        <v>75</v>
      </c>
      <c r="I5" s="18">
        <f>'MERCADO TUSD'!$U$2</f>
        <v>6523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47.425249523172077</v>
      </c>
      <c r="Z5" s="13">
        <f>'TR TUSD'!$Z$5</f>
        <v>0</v>
      </c>
      <c r="AA5" s="13">
        <f>'TR TUSD'!$AA$5</f>
        <v>0</v>
      </c>
      <c r="AB5" s="13">
        <f>SUM($U$5:$AA$5)</f>
        <v>47.425249523172077</v>
      </c>
      <c r="AC5" s="13">
        <f>'TR TUSD'!$AC$5*'TR TUSD'!$AC$60</f>
        <v>156.55041289441965</v>
      </c>
      <c r="AD5" s="13">
        <f>SUM($AC$5:$AC$5)</f>
        <v>156.55041289441965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203.97566241759174</v>
      </c>
      <c r="AP5" s="13">
        <v>1</v>
      </c>
    </row>
    <row r="6" spans="1:42" ht="11.25" customHeight="1" x14ac:dyDescent="0.3">
      <c r="A6" s="95"/>
      <c r="B6" s="95"/>
      <c r="C6" s="95"/>
      <c r="D6" s="95"/>
      <c r="E6" s="95"/>
      <c r="F6" s="95"/>
      <c r="G6" s="18" t="s">
        <v>77</v>
      </c>
      <c r="H6" s="18" t="s">
        <v>75</v>
      </c>
      <c r="I6" s="18">
        <f>'MERCADO TUSD'!$U$3</f>
        <v>6575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19.16866020336035</v>
      </c>
      <c r="Z6" s="13">
        <f>'TR TUSD'!$Z$6</f>
        <v>0</v>
      </c>
      <c r="AA6" s="13">
        <f>'TR TUSD'!$AA$6</f>
        <v>0</v>
      </c>
      <c r="AB6" s="13">
        <f>SUM($U$6:$AA$6)</f>
        <v>19.16866020336035</v>
      </c>
      <c r="AC6" s="13">
        <f>'TR TUSD'!$AC$6*'TR TUSD'!$AC$60</f>
        <v>43.745436985175999</v>
      </c>
      <c r="AD6" s="13">
        <f>SUM($AC$6:$AC$6)</f>
        <v>43.745436985175999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62.914097188536346</v>
      </c>
      <c r="AP6" s="13">
        <v>1</v>
      </c>
    </row>
    <row r="7" spans="1:42" ht="11.25" customHeight="1" x14ac:dyDescent="0.3">
      <c r="A7" s="95"/>
      <c r="B7" s="95"/>
      <c r="C7" s="95"/>
      <c r="D7" s="95"/>
      <c r="E7" s="95"/>
      <c r="F7" s="95"/>
      <c r="G7" s="18" t="s">
        <v>74</v>
      </c>
      <c r="H7" s="18" t="s">
        <v>70</v>
      </c>
      <c r="I7" s="18">
        <f>'MERCADO TUSD'!$U$4</f>
        <v>4102.5690000000004</v>
      </c>
      <c r="J7" s="15"/>
      <c r="L7" s="13">
        <f>'TR TUSD'!$L$7*'TR TUSD'!$L$60</f>
        <v>0</v>
      </c>
      <c r="M7" s="13">
        <f>'TR TUSD'!$M$7*'TR TUSD'!$M$60</f>
        <v>1.1499943628742806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77.791066518318544</v>
      </c>
      <c r="R7" s="13">
        <f>'TR TUSD'!$R$7*'TR TUSD'!$R$60</f>
        <v>14.630048180624657</v>
      </c>
      <c r="S7" s="13">
        <f>'TR TUSD'!$S$7*'TR TUSD'!$S$60</f>
        <v>0</v>
      </c>
      <c r="T7" s="13">
        <f ca="1">SUM($L$7:$S$7)</f>
        <v>93.571109061817481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11.773420755262098</v>
      </c>
      <c r="AI7" s="13">
        <f>'TR TUSD'!$AI$7*'TR TUSD'!$AI$60</f>
        <v>0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11.773420755262098</v>
      </c>
      <c r="AM7" s="13">
        <f ca="1">SUMIF($L$4:$AL$4,"SUBTOTAL",$L$7:$AL$7)</f>
        <v>105.34452981707958</v>
      </c>
      <c r="AP7" s="13">
        <v>1</v>
      </c>
    </row>
    <row r="8" spans="1:42" ht="11.25" customHeight="1" x14ac:dyDescent="0.3">
      <c r="A8" s="95"/>
      <c r="B8" s="95"/>
      <c r="C8" s="95"/>
      <c r="D8" s="95"/>
      <c r="E8" s="17" t="s">
        <v>78</v>
      </c>
      <c r="F8" s="17" t="s">
        <v>25</v>
      </c>
      <c r="G8" s="18" t="s">
        <v>74</v>
      </c>
      <c r="H8" s="18" t="s">
        <v>70</v>
      </c>
      <c r="I8" s="18">
        <f>'MERCADO TUSD'!$U$5</f>
        <v>0</v>
      </c>
      <c r="J8" s="15"/>
      <c r="L8" s="13">
        <f>'TR TUSD'!$L$8*'TR TUSD'!$L$60</f>
        <v>0</v>
      </c>
      <c r="M8" s="13">
        <f>'TR TUSD'!$M$8*'TR TUSD'!$M$60</f>
        <v>1.1499943628742806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1.1499943628742806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11.773420755262098</v>
      </c>
      <c r="AI8" s="13">
        <f>'TR TUSD'!$AI$8*'TR TUSD'!$AI$60</f>
        <v>0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11.773420755262098</v>
      </c>
      <c r="AM8" s="13">
        <f ca="1">SUMIF($L$4:$AL$4,"SUBTOTAL",$L$8:$AL$8)</f>
        <v>12.923415118136379</v>
      </c>
      <c r="AP8" s="13">
        <v>1</v>
      </c>
    </row>
    <row r="9" spans="1:42" ht="11.25" customHeight="1" x14ac:dyDescent="0.3">
      <c r="A9" s="95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75</v>
      </c>
      <c r="I9" s="18">
        <f>'MERCADO TUSD'!$U$6</f>
        <v>0</v>
      </c>
      <c r="J9" s="15"/>
      <c r="L9" s="13">
        <f>'TR TUSD'!$L$9*'TR TUSD'!$L$60</f>
        <v>0</v>
      </c>
      <c r="M9" s="13">
        <f>'TR TUSD'!$M$9*'TR TUSD'!$M$60</f>
        <v>1.1325191198048009E-2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1.1325191198048009E-2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11.874295576696259</v>
      </c>
      <c r="AD9" s="13">
        <f>SUM($AC$9:$AC$9)</f>
        <v>11.874295576696259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11.885620767894308</v>
      </c>
      <c r="AP9" s="13"/>
    </row>
    <row r="10" spans="1:42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75</v>
      </c>
      <c r="I10" s="18">
        <f>'MERCADO TUSD'!$U$7</f>
        <v>18005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19.16866020336035</v>
      </c>
      <c r="Z10" s="13">
        <f>'TR TUSD'!$Z$10</f>
        <v>0</v>
      </c>
      <c r="AA10" s="13">
        <f>'TR TUSD'!$AA$10</f>
        <v>0</v>
      </c>
      <c r="AB10" s="13">
        <f>SUM($U$10:$AA$10)</f>
        <v>19.16866020336035</v>
      </c>
      <c r="AC10" s="13">
        <f>'TR TUSD'!$AC$10*'TR TUSD'!$AC$60</f>
        <v>43.745436985175999</v>
      </c>
      <c r="AD10" s="13">
        <f>SUM($AC$10:$AC$10)</f>
        <v>43.745436985175999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62.914097188536346</v>
      </c>
      <c r="AP10" s="13">
        <v>1</v>
      </c>
    </row>
    <row r="11" spans="1:42" ht="11.25" customHeight="1" x14ac:dyDescent="0.3">
      <c r="A11" s="95"/>
      <c r="B11" s="95"/>
      <c r="C11" s="95"/>
      <c r="D11" s="95"/>
      <c r="E11" s="95"/>
      <c r="F11" s="95"/>
      <c r="G11" s="18" t="s">
        <v>71</v>
      </c>
      <c r="H11" s="18" t="s">
        <v>70</v>
      </c>
      <c r="I11" s="18">
        <f>'MERCADO TUSD'!$U$8</f>
        <v>126.06400000000002</v>
      </c>
      <c r="J11" s="15"/>
      <c r="L11" s="13">
        <f>'TR TUSD'!$L$11*'TR TUSD'!$L$60</f>
        <v>0</v>
      </c>
      <c r="M11" s="13">
        <f>'TR TUSD'!$M$11*'TR TUSD'!$M$60</f>
        <v>1.1499943628742806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77.791066518318544</v>
      </c>
      <c r="R11" s="13">
        <f>'TR TUSD'!$R$11*'TR TUSD'!$R$60</f>
        <v>14.630048180624657</v>
      </c>
      <c r="S11" s="13">
        <f>'TR TUSD'!$S$11*'TR TUSD'!$S$60</f>
        <v>0</v>
      </c>
      <c r="T11" s="13">
        <f ca="1">SUM($L$11:$S$11)</f>
        <v>93.571109061817481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1141.0316830851698</v>
      </c>
      <c r="Z11" s="13">
        <f>'TR TUSD'!$Z$11</f>
        <v>0</v>
      </c>
      <c r="AA11" s="13">
        <f>'TR TUSD'!$AA$11</f>
        <v>0</v>
      </c>
      <c r="AB11" s="13">
        <f>SUM($U$11:$AA$11)</f>
        <v>1141.0316830851698</v>
      </c>
      <c r="AC11" s="13">
        <f>'TR TUSD'!$AC$11*'TR TUSD'!$AC$60</f>
        <v>3765.040236958137</v>
      </c>
      <c r="AD11" s="13">
        <f>SUM($AC$11:$AC$11)</f>
        <v>3765.040236958137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11.773420755262098</v>
      </c>
      <c r="AI11" s="13">
        <f>'TR TUSD'!$AI$11*'TR TUSD'!$AI$60</f>
        <v>0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11.773420755262098</v>
      </c>
      <c r="AM11" s="13">
        <f ca="1">SUMIF($L$4:$AL$4,"SUBTOTAL",$L$11:$AL$11)</f>
        <v>5011.4164498603859</v>
      </c>
      <c r="AP11" s="13">
        <v>1</v>
      </c>
    </row>
    <row r="12" spans="1:42" ht="11.25" customHeight="1" x14ac:dyDescent="0.3">
      <c r="A12" s="95"/>
      <c r="B12" s="95"/>
      <c r="C12" s="95"/>
      <c r="D12" s="95"/>
      <c r="E12" s="95"/>
      <c r="F12" s="95"/>
      <c r="G12" s="18" t="s">
        <v>72</v>
      </c>
      <c r="H12" s="18" t="s">
        <v>70</v>
      </c>
      <c r="I12" s="18">
        <f>'MERCADO TUSD'!$U$9</f>
        <v>4809.674</v>
      </c>
      <c r="J12" s="15"/>
      <c r="L12" s="13">
        <f>'TR TUSD'!$L$12*'TR TUSD'!$L$60</f>
        <v>0</v>
      </c>
      <c r="M12" s="13">
        <f>'TR TUSD'!$M$12*'TR TUSD'!$M$60</f>
        <v>1.1499943628742806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77.791066518318544</v>
      </c>
      <c r="R12" s="13">
        <f>'TR TUSD'!$R$12*'TR TUSD'!$R$60</f>
        <v>14.630048180624657</v>
      </c>
      <c r="S12" s="13">
        <f>'TR TUSD'!$S$12*'TR TUSD'!$S$60</f>
        <v>0</v>
      </c>
      <c r="T12" s="13">
        <f ca="1">SUM($L$12:$S$12)</f>
        <v>93.571109061817481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11.773420755262098</v>
      </c>
      <c r="AI12" s="13">
        <f>'TR TUSD'!$AI$12*'TR TUSD'!$AI$60</f>
        <v>0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11.773420755262098</v>
      </c>
      <c r="AM12" s="13">
        <f ca="1">SUMIF($L$4:$AL$4,"SUBTOTAL",$L$12:$AL$12)</f>
        <v>105.34452981707958</v>
      </c>
      <c r="AP12" s="13">
        <v>1</v>
      </c>
    </row>
    <row r="13" spans="1:42" ht="11.25" customHeight="1" x14ac:dyDescent="0.3">
      <c r="A13" s="95"/>
      <c r="B13" s="95"/>
      <c r="C13" s="95"/>
      <c r="D13" s="95"/>
      <c r="E13" s="95" t="s">
        <v>78</v>
      </c>
      <c r="F13" s="95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>
        <f>'TR TUSD'!$L$13*'TR TUSD'!$L$60</f>
        <v>0</v>
      </c>
      <c r="M13" s="13">
        <f>'TR TUSD'!$M$13*'TR TUSD'!$M$60</f>
        <v>1.1499943628742806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1.1499943628742806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1141.0316830851698</v>
      </c>
      <c r="Z13" s="13">
        <f>'TR TUSD'!$Z$13</f>
        <v>0</v>
      </c>
      <c r="AA13" s="13">
        <f>'TR TUSD'!$AA$13</f>
        <v>0</v>
      </c>
      <c r="AB13" s="13">
        <f>SUM($U$13:$AA$13)</f>
        <v>1141.0316830851698</v>
      </c>
      <c r="AC13" s="13">
        <f>'TR TUSD'!$AC$13*'TR TUSD'!$AC$60</f>
        <v>3765.040236958137</v>
      </c>
      <c r="AD13" s="13">
        <f>SUM($AC$13:$AC$13)</f>
        <v>3765.040236958137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11.773420755262098</v>
      </c>
      <c r="AI13" s="13">
        <f>'TR TUSD'!$AI$13*'TR TUSD'!$AI$60</f>
        <v>0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11.773420755262098</v>
      </c>
      <c r="AM13" s="13">
        <f ca="1">SUMIF($L$4:$AL$4,"SUBTOTAL",$L$13:$AL$13)</f>
        <v>4918.9953351614431</v>
      </c>
      <c r="AP13" s="13">
        <v>1</v>
      </c>
    </row>
    <row r="14" spans="1:42" ht="11.25" customHeight="1" x14ac:dyDescent="0.3">
      <c r="A14" s="95"/>
      <c r="B14" s="95"/>
      <c r="C14" s="95"/>
      <c r="D14" s="95"/>
      <c r="E14" s="95"/>
      <c r="F14" s="95"/>
      <c r="G14" s="18" t="s">
        <v>72</v>
      </c>
      <c r="H14" s="18" t="s">
        <v>70</v>
      </c>
      <c r="I14" s="18">
        <f>'MERCADO TUSD'!$U$11</f>
        <v>0</v>
      </c>
      <c r="J14" s="15"/>
      <c r="L14" s="13">
        <f>'TR TUSD'!$L$14*'TR TUSD'!$L$60</f>
        <v>0</v>
      </c>
      <c r="M14" s="13">
        <f>'TR TUSD'!$M$14*'TR TUSD'!$M$60</f>
        <v>1.1499943628742806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1.1499943628742806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11.773420755262098</v>
      </c>
      <c r="AI14" s="13">
        <f>'TR TUSD'!$AI$14*'TR TUSD'!$AI$60</f>
        <v>0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11.773420755262098</v>
      </c>
      <c r="AM14" s="13">
        <f ca="1">SUMIF($L$4:$AL$4,"SUBTOTAL",$L$14:$AL$14)</f>
        <v>12.923415118136379</v>
      </c>
      <c r="AP14" s="13">
        <v>1</v>
      </c>
    </row>
    <row r="15" spans="1:42" ht="11.25" customHeight="1" x14ac:dyDescent="0.3">
      <c r="A15" s="95" t="s">
        <v>80</v>
      </c>
      <c r="B15" s="95" t="s">
        <v>79</v>
      </c>
      <c r="C15" s="95" t="s">
        <v>25</v>
      </c>
      <c r="D15" s="95" t="s">
        <v>25</v>
      </c>
      <c r="E15" s="17" t="s">
        <v>81</v>
      </c>
      <c r="F15" s="17" t="s">
        <v>25</v>
      </c>
      <c r="G15" s="18" t="s">
        <v>9</v>
      </c>
      <c r="H15" s="18" t="s">
        <v>75</v>
      </c>
      <c r="I15" s="18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1.1636893708086028E-2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1.1636893708086028E-2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20.41376805784158</v>
      </c>
      <c r="AD15" s="13">
        <f>SUM($AC$15:$AC$15)</f>
        <v>20.41376805784158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20.425404951549666</v>
      </c>
      <c r="AP15" s="13"/>
    </row>
    <row r="16" spans="1:42" ht="11.25" customHeight="1" x14ac:dyDescent="0.3">
      <c r="A16" s="95"/>
      <c r="B16" s="95"/>
      <c r="C16" s="95"/>
      <c r="D16" s="95"/>
      <c r="E16" s="17" t="s">
        <v>82</v>
      </c>
      <c r="F16" s="17" t="s">
        <v>25</v>
      </c>
      <c r="G16" s="18" t="s">
        <v>9</v>
      </c>
      <c r="H16" s="18" t="s">
        <v>75</v>
      </c>
      <c r="I16" s="18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1.1636893708086028E-2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1.1636893708086028E-2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41.532465286618006</v>
      </c>
      <c r="AD16" s="13">
        <f>SUM($AC$16:$AC$16)</f>
        <v>41.532465286618006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41.544102180326092</v>
      </c>
      <c r="AP16" s="13"/>
    </row>
    <row r="17" spans="1:42" ht="11.25" customHeight="1" x14ac:dyDescent="0.3">
      <c r="A17" s="95" t="s">
        <v>22</v>
      </c>
      <c r="B17" s="95" t="s">
        <v>33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71</v>
      </c>
      <c r="H17" s="18" t="s">
        <v>70</v>
      </c>
      <c r="I17" s="18">
        <f>'MERCADO TUSD'!$U$14</f>
        <v>0.66799999999999993</v>
      </c>
      <c r="J17" s="15"/>
      <c r="L17" s="13">
        <f>'TR TUSD'!$L$17*'TR TUSD'!$L$60</f>
        <v>0</v>
      </c>
      <c r="M17" s="13">
        <f>'TR TUSD'!$M$17*'TR TUSD'!$M$60</f>
        <v>2.6337825076414725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92.608412521807793</v>
      </c>
      <c r="R17" s="13">
        <f>'TR TUSD'!$R$17*'TR TUSD'!$R$60</f>
        <v>14.630048180624657</v>
      </c>
      <c r="S17" s="13">
        <f>'TR TUSD'!$S$17*'TR TUSD'!$S$60</f>
        <v>0</v>
      </c>
      <c r="T17" s="13">
        <f ca="1">SUM($L$17:$S$17)</f>
        <v>109.87224321007392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417.73931659209728</v>
      </c>
      <c r="Z17" s="13">
        <f>'TR TUSD'!$Z$17</f>
        <v>0</v>
      </c>
      <c r="AA17" s="13">
        <f>'TR TUSD'!$AA$17</f>
        <v>0</v>
      </c>
      <c r="AB17" s="13">
        <f>SUM($U$17:$AA$17)</f>
        <v>417.73931659209728</v>
      </c>
      <c r="AC17" s="13">
        <f>'TR TUSD'!$AC$17*'TR TUSD'!$AC$60</f>
        <v>1759.1365454173256</v>
      </c>
      <c r="AD17" s="13">
        <f>SUM($AC$17:$AC$17)</f>
        <v>1759.1365454173256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30.493795902537464</v>
      </c>
      <c r="AI17" s="13">
        <f>'TR TUSD'!$AI$17*'TR TUSD'!$AI$60</f>
        <v>0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30.493795902537464</v>
      </c>
      <c r="AM17" s="13">
        <f ca="1">SUMIF($L$4:$AL$4,"SUBTOTAL",$L$17:$AL$17)</f>
        <v>2317.2419011220341</v>
      </c>
      <c r="AP17" s="13">
        <v>1</v>
      </c>
    </row>
    <row r="18" spans="1:42" ht="11.25" customHeight="1" x14ac:dyDescent="0.3">
      <c r="A18" s="95"/>
      <c r="B18" s="95"/>
      <c r="C18" s="95"/>
      <c r="D18" s="95"/>
      <c r="E18" s="95"/>
      <c r="F18" s="95"/>
      <c r="G18" s="18" t="s">
        <v>83</v>
      </c>
      <c r="H18" s="18" t="s">
        <v>70</v>
      </c>
      <c r="I18" s="18">
        <f>'MERCADO TUSD'!$U$15</f>
        <v>0.34</v>
      </c>
      <c r="J18" s="15"/>
      <c r="L18" s="13">
        <f>'TR TUSD'!$L$18*'TR TUSD'!$L$60</f>
        <v>0</v>
      </c>
      <c r="M18" s="13">
        <f>'TR TUSD'!$M$18*'TR TUSD'!$M$60</f>
        <v>2.6337825076414725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92.608412521807793</v>
      </c>
      <c r="R18" s="13">
        <f>'TR TUSD'!$R$18*'TR TUSD'!$R$60</f>
        <v>14.630048180624657</v>
      </c>
      <c r="S18" s="13">
        <f>'TR TUSD'!$S$18*'TR TUSD'!$S$60</f>
        <v>0</v>
      </c>
      <c r="T18" s="13">
        <f ca="1">SUM($L$18:$S$18)</f>
        <v>109.87224321007392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250.64363741800346</v>
      </c>
      <c r="Z18" s="13">
        <f>'TR TUSD'!$Z$18</f>
        <v>0</v>
      </c>
      <c r="AA18" s="13">
        <f>'TR TUSD'!$AA$18</f>
        <v>0</v>
      </c>
      <c r="AB18" s="13">
        <f>SUM($U$18:$AA$18)</f>
        <v>250.64363741800346</v>
      </c>
      <c r="AC18" s="13">
        <f>'TR TUSD'!$AC$18*'TR TUSD'!$AC$60</f>
        <v>1055.4824375862761</v>
      </c>
      <c r="AD18" s="13">
        <f>SUM($AC$18:$AC$18)</f>
        <v>1055.4824375862761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30.493795902537464</v>
      </c>
      <c r="AI18" s="13">
        <f>'TR TUSD'!$AI$18*'TR TUSD'!$AI$60</f>
        <v>0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30.493795902537464</v>
      </c>
      <c r="AM18" s="13">
        <f ca="1">SUMIF($L$4:$AL$4,"SUBTOTAL",$L$18:$AL$18)</f>
        <v>1446.4921141168909</v>
      </c>
      <c r="AP18" s="13">
        <v>1</v>
      </c>
    </row>
    <row r="19" spans="1:42" ht="11.25" customHeight="1" x14ac:dyDescent="0.3">
      <c r="A19" s="95"/>
      <c r="B19" s="95"/>
      <c r="C19" s="95"/>
      <c r="D19" s="95"/>
      <c r="E19" s="95"/>
      <c r="F19" s="95"/>
      <c r="G19" s="18" t="s">
        <v>72</v>
      </c>
      <c r="H19" s="18" t="s">
        <v>70</v>
      </c>
      <c r="I19" s="18">
        <f>'MERCADO TUSD'!$U$16</f>
        <v>8.6609999999999996</v>
      </c>
      <c r="J19" s="15"/>
      <c r="L19" s="13">
        <f>'TR TUSD'!$L$19*'TR TUSD'!$L$60</f>
        <v>0</v>
      </c>
      <c r="M19" s="13">
        <f>'TR TUSD'!$M$19*'TR TUSD'!$M$60</f>
        <v>2.6337825076414725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92.608412521807793</v>
      </c>
      <c r="R19" s="13">
        <f>'TR TUSD'!$R$19*'TR TUSD'!$R$60</f>
        <v>14.630048180624657</v>
      </c>
      <c r="S19" s="13">
        <f>'TR TUSD'!$S$19*'TR TUSD'!$S$60</f>
        <v>0</v>
      </c>
      <c r="T19" s="13">
        <f ca="1">SUM($L$19:$S$19)</f>
        <v>109.87224321007392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83.624254606644712</v>
      </c>
      <c r="Z19" s="13">
        <f>'TR TUSD'!$Z$19</f>
        <v>0</v>
      </c>
      <c r="AA19" s="13">
        <f>'TR TUSD'!$AA$19</f>
        <v>0</v>
      </c>
      <c r="AB19" s="13">
        <f>SUM($U$19:$AA$19)</f>
        <v>83.624254606644712</v>
      </c>
      <c r="AC19" s="13">
        <f>'TR TUSD'!$AC$19*'TR TUSD'!$AC$60</f>
        <v>351.82699844423337</v>
      </c>
      <c r="AD19" s="13">
        <f>SUM($AC$19:$AC$19)</f>
        <v>351.82699844423337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30.493795902537464</v>
      </c>
      <c r="AI19" s="13">
        <f>'TR TUSD'!$AI$19*'TR TUSD'!$AI$60</f>
        <v>0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30.493795902537464</v>
      </c>
      <c r="AM19" s="13">
        <f ca="1">SUMIF($L$4:$AL$4,"SUBTOTAL",$L$19:$AL$19)</f>
        <v>575.81729216348947</v>
      </c>
      <c r="AP19" s="13">
        <v>1</v>
      </c>
    </row>
    <row r="20" spans="1:42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74</v>
      </c>
      <c r="H20" s="18" t="s">
        <v>70</v>
      </c>
      <c r="I20" s="18">
        <f>'MERCADO TUSD'!$U$17</f>
        <v>15958.987000000001</v>
      </c>
      <c r="J20" s="15"/>
      <c r="L20" s="13">
        <f>'TR TUSD'!$L$20*'TR TUSD'!$L$60</f>
        <v>0</v>
      </c>
      <c r="M20" s="13">
        <f>'TR TUSD'!$M$20*'TR TUSD'!$M$60</f>
        <v>2.6337825076414725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92.608412521807793</v>
      </c>
      <c r="R20" s="13">
        <f>'TR TUSD'!$R$20*'TR TUSD'!$R$60</f>
        <v>14.630048180624657</v>
      </c>
      <c r="S20" s="13">
        <f>'TR TUSD'!$S$20*'TR TUSD'!$S$60</f>
        <v>0</v>
      </c>
      <c r="T20" s="13">
        <f ca="1">SUM($L$20:$S$20)</f>
        <v>109.87224321007392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154.64750636200614</v>
      </c>
      <c r="Z20" s="13">
        <f>'TR TUSD'!$Z$20</f>
        <v>0</v>
      </c>
      <c r="AA20" s="13">
        <f>'TR TUSD'!$AA$20</f>
        <v>0</v>
      </c>
      <c r="AB20" s="13">
        <f>SUM($U$20:$AA$20)</f>
        <v>154.64750636200614</v>
      </c>
      <c r="AC20" s="13">
        <f>'TR TUSD'!$AC$20*'TR TUSD'!$AC$60</f>
        <v>651.53228396140344</v>
      </c>
      <c r="AD20" s="13">
        <f>SUM($AC$20:$AC$20)</f>
        <v>651.53228396140344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30.493795902537464</v>
      </c>
      <c r="AI20" s="13">
        <f>'TR TUSD'!$AI$20*'TR TUSD'!$AI$60</f>
        <v>0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30.493795902537464</v>
      </c>
      <c r="AM20" s="13">
        <f ca="1">SUMIF($L$4:$AL$4,"SUBTOTAL",$L$20:$AL$20)</f>
        <v>946.54582943602099</v>
      </c>
      <c r="AP20" s="13">
        <v>1</v>
      </c>
    </row>
    <row r="21" spans="1:42" ht="11.25" customHeight="1" x14ac:dyDescent="0.3">
      <c r="A21" s="95"/>
      <c r="B21" s="95"/>
      <c r="C21" s="95"/>
      <c r="D21" s="17" t="s">
        <v>29</v>
      </c>
      <c r="E21" s="17" t="s">
        <v>25</v>
      </c>
      <c r="F21" s="17" t="s">
        <v>25</v>
      </c>
      <c r="G21" s="18" t="s">
        <v>74</v>
      </c>
      <c r="H21" s="18" t="s">
        <v>70</v>
      </c>
      <c r="I21" s="18">
        <f>'MERCADO TUSD'!$U$18</f>
        <v>86.132999999999996</v>
      </c>
      <c r="J21" s="15"/>
      <c r="L21" s="13">
        <f>'TR TUSD'!$L$21*'TR TUSD'!$L$60</f>
        <v>0</v>
      </c>
      <c r="M21" s="13">
        <f>'TR TUSD'!$M$21*'TR TUSD'!$M$60</f>
        <v>2.6337825076414725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2.6337825076414725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154.64750636200614</v>
      </c>
      <c r="Z21" s="13">
        <f>'TR TUSD'!$Z$21</f>
        <v>0</v>
      </c>
      <c r="AA21" s="13">
        <f>'TR TUSD'!$AA$21</f>
        <v>0</v>
      </c>
      <c r="AB21" s="13">
        <f>SUM($U$21:$AA$21)</f>
        <v>154.64750636200614</v>
      </c>
      <c r="AC21" s="13">
        <f>'TR TUSD'!$AC$21*'TR TUSD'!$AC$60</f>
        <v>651.53228396140344</v>
      </c>
      <c r="AD21" s="13">
        <f>SUM($AC$21:$AC$21)</f>
        <v>651.53228396140344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30.493795902537464</v>
      </c>
      <c r="AI21" s="13">
        <f>'TR TUSD'!$AI$21*'TR TUSD'!$AI$60</f>
        <v>0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30.493795902537464</v>
      </c>
      <c r="AM21" s="13">
        <f ca="1">SUMIF($L$4:$AL$4,"SUBTOTAL",$L$21:$AL$21)</f>
        <v>839.30736873358853</v>
      </c>
      <c r="AP21" s="13">
        <f>IF((1 - CUSTOS!$M$24)&lt;&gt;0,1/(1 - CUSTOS!$M$24),1)</f>
        <v>1</v>
      </c>
    </row>
    <row r="22" spans="1:42" ht="11.25" customHeight="1" x14ac:dyDescent="0.3">
      <c r="A22" s="95"/>
      <c r="B22" s="95"/>
      <c r="C22" s="95"/>
      <c r="D22" s="17" t="s">
        <v>30</v>
      </c>
      <c r="E22" s="17" t="s">
        <v>25</v>
      </c>
      <c r="F22" s="17" t="s">
        <v>25</v>
      </c>
      <c r="G22" s="18" t="s">
        <v>74</v>
      </c>
      <c r="H22" s="18" t="s">
        <v>70</v>
      </c>
      <c r="I22" s="18">
        <f>'MERCADO TUSD'!$U$19</f>
        <v>172.315</v>
      </c>
      <c r="J22" s="15"/>
      <c r="L22" s="13">
        <f>'TR TUSD'!$L$22*'TR TUSD'!$L$60</f>
        <v>0</v>
      </c>
      <c r="M22" s="13">
        <f>'TR TUSD'!$M$22*'TR TUSD'!$M$60</f>
        <v>2.6337825076414725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2.6337825076414725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154.64750636200614</v>
      </c>
      <c r="Z22" s="13">
        <f>'TR TUSD'!$Z$22</f>
        <v>0</v>
      </c>
      <c r="AA22" s="13">
        <f>'TR TUSD'!$AA$22</f>
        <v>0</v>
      </c>
      <c r="AB22" s="13">
        <f>SUM($U$22:$AA$22)</f>
        <v>154.64750636200614</v>
      </c>
      <c r="AC22" s="13">
        <f>'TR TUSD'!$AC$22*'TR TUSD'!$AC$60</f>
        <v>651.53228396140344</v>
      </c>
      <c r="AD22" s="13">
        <f>SUM($AC$22:$AC$22)</f>
        <v>651.53228396140344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30.493795902537464</v>
      </c>
      <c r="AI22" s="13">
        <f>'TR TUSD'!$AI$22*'TR TUSD'!$AI$60</f>
        <v>0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30.493795902537464</v>
      </c>
      <c r="AM22" s="13">
        <f ca="1">SUMIF($L$4:$AL$4,"SUBTOTAL",$L$22:$AL$22)</f>
        <v>839.30736873358853</v>
      </c>
      <c r="AP22" s="13">
        <f>IF((1 - CUSTOS!$M$25)&lt;&gt;0,1/(1 - CUSTOS!$M$25),1)</f>
        <v>1</v>
      </c>
    </row>
    <row r="23" spans="1:42" ht="11.25" customHeight="1" x14ac:dyDescent="0.3">
      <c r="A23" s="95"/>
      <c r="B23" s="95"/>
      <c r="C23" s="95"/>
      <c r="D23" s="17" t="s">
        <v>31</v>
      </c>
      <c r="E23" s="17" t="s">
        <v>25</v>
      </c>
      <c r="F23" s="17" t="s">
        <v>25</v>
      </c>
      <c r="G23" s="18" t="s">
        <v>74</v>
      </c>
      <c r="H23" s="18" t="s">
        <v>70</v>
      </c>
      <c r="I23" s="18">
        <f>'MERCADO TUSD'!$U$20</f>
        <v>174.131</v>
      </c>
      <c r="J23" s="15"/>
      <c r="L23" s="13">
        <f>'TR TUSD'!$L$23*'TR TUSD'!$L$60</f>
        <v>0</v>
      </c>
      <c r="M23" s="13">
        <f>'TR TUSD'!$M$23*'TR TUSD'!$M$60</f>
        <v>2.6337825076414725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2.6337825076414725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154.64750636200614</v>
      </c>
      <c r="Z23" s="13">
        <f>'TR TUSD'!$Z$23</f>
        <v>0</v>
      </c>
      <c r="AA23" s="13">
        <f>'TR TUSD'!$AA$23</f>
        <v>0</v>
      </c>
      <c r="AB23" s="13">
        <f>SUM($U$23:$AA$23)</f>
        <v>154.64750636200614</v>
      </c>
      <c r="AC23" s="13">
        <f>'TR TUSD'!$AC$23*'TR TUSD'!$AC$60</f>
        <v>651.53228396140344</v>
      </c>
      <c r="AD23" s="13">
        <f>SUM($AC$23:$AC$23)</f>
        <v>651.53228396140344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30.493795902537464</v>
      </c>
      <c r="AI23" s="13">
        <f>'TR TUSD'!$AI$23*'TR TUSD'!$AI$60</f>
        <v>0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30.493795902537464</v>
      </c>
      <c r="AM23" s="13">
        <f ca="1">SUMIF($L$4:$AL$4,"SUBTOTAL",$L$23:$AL$23)</f>
        <v>839.30736873358853</v>
      </c>
      <c r="AP23" s="13">
        <f>IF((1 - CUSTOS!$M$26)&lt;&gt;0,1/(1 - CUSTOS!$M$26),1)</f>
        <v>1</v>
      </c>
    </row>
    <row r="24" spans="1:42" ht="11.25" customHeight="1" x14ac:dyDescent="0.3">
      <c r="A24" s="95"/>
      <c r="B24" s="95"/>
      <c r="C24" s="95"/>
      <c r="D24" s="17" t="s">
        <v>32</v>
      </c>
      <c r="E24" s="17" t="s">
        <v>25</v>
      </c>
      <c r="F24" s="17" t="s">
        <v>25</v>
      </c>
      <c r="G24" s="18" t="s">
        <v>74</v>
      </c>
      <c r="H24" s="18" t="s">
        <v>70</v>
      </c>
      <c r="I24" s="18">
        <f>'MERCADO TUSD'!$U$21</f>
        <v>71.680000000000007</v>
      </c>
      <c r="J24" s="15"/>
      <c r="L24" s="13">
        <f>'TR TUSD'!$L$24*'TR TUSD'!$L$60</f>
        <v>0</v>
      </c>
      <c r="M24" s="13">
        <f>'TR TUSD'!$M$24*'TR TUSD'!$M$60</f>
        <v>2.6337825076414725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2.6337825076414725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154.64750636200614</v>
      </c>
      <c r="Z24" s="13">
        <f>'TR TUSD'!$Z$24</f>
        <v>0</v>
      </c>
      <c r="AA24" s="13">
        <f>'TR TUSD'!$AA$24</f>
        <v>0</v>
      </c>
      <c r="AB24" s="13">
        <f>SUM($U$24:$AA$24)</f>
        <v>154.64750636200614</v>
      </c>
      <c r="AC24" s="13">
        <f>'TR TUSD'!$AC$24*'TR TUSD'!$AC$60</f>
        <v>651.53228396140344</v>
      </c>
      <c r="AD24" s="13">
        <f>SUM($AC$24:$AC$24)</f>
        <v>651.53228396140344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30.493795902537464</v>
      </c>
      <c r="AI24" s="13">
        <f>'TR TUSD'!$AI$24*'TR TUSD'!$AI$60</f>
        <v>0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30.493795902537464</v>
      </c>
      <c r="AM24" s="13">
        <f ca="1">SUMIF($L$4:$AL$4,"SUBTOTAL",$L$24:$AL$24)</f>
        <v>839.30736873358853</v>
      </c>
      <c r="AP24" s="13">
        <f>IF((1 - CUSTOS!$M$27)&lt;&gt;0,1/(1 - CUSTOS!$M$27),1)</f>
        <v>1</v>
      </c>
    </row>
    <row r="25" spans="1:42" ht="11.25" customHeight="1" x14ac:dyDescent="0.3">
      <c r="A25" s="95"/>
      <c r="B25" s="95" t="s">
        <v>85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74</v>
      </c>
      <c r="H25" s="18" t="s">
        <v>70</v>
      </c>
      <c r="I25" s="18">
        <f>'MERCADO TUSD'!$U$22</f>
        <v>0</v>
      </c>
      <c r="J25" s="15"/>
      <c r="L25" s="13">
        <f>'TR TUSD'!$L$25*'TR TUSD'!$L$60</f>
        <v>0</v>
      </c>
      <c r="M25" s="13">
        <f>'TR TUSD'!$M$25*'TR TUSD'!$M$60</f>
        <v>2.6337825076414725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92.608412521807793</v>
      </c>
      <c r="R25" s="13">
        <f>'TR TUSD'!$R$25*'TR TUSD'!$R$60</f>
        <v>14.630048180624657</v>
      </c>
      <c r="S25" s="13">
        <f>'TR TUSD'!$S$25*'TR TUSD'!$S$60</f>
        <v>0</v>
      </c>
      <c r="T25" s="13">
        <f ca="1">SUM($L$25:$S$25)</f>
        <v>109.87224321007392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154.64750636200614</v>
      </c>
      <c r="Z25" s="13">
        <f>'TR TUSD'!$Z$25</f>
        <v>0</v>
      </c>
      <c r="AA25" s="13">
        <f>'TR TUSD'!$AA$25</f>
        <v>0</v>
      </c>
      <c r="AB25" s="13">
        <f>SUM($U$25:$AA$25)</f>
        <v>154.64750636200614</v>
      </c>
      <c r="AC25" s="13">
        <f>'TR TUSD'!$AC$25*'TR TUSD'!$AC$60</f>
        <v>651.53228396140344</v>
      </c>
      <c r="AD25" s="13">
        <f>SUM($AC$25:$AC$25)</f>
        <v>651.53228396140344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30.493795902537464</v>
      </c>
      <c r="AI25" s="13">
        <f>'TR TUSD'!$AI$25*'TR TUSD'!$AI$60</f>
        <v>0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30.493795902537464</v>
      </c>
      <c r="AM25" s="13">
        <f ca="1">SUMIF($L$4:$AL$4,"SUBTOTAL",$L$25:$AL$25)</f>
        <v>946.54582943602099</v>
      </c>
      <c r="AP25" s="13">
        <v>1</v>
      </c>
    </row>
    <row r="26" spans="1:42" ht="11.25" customHeight="1" x14ac:dyDescent="0.3">
      <c r="A26" s="95"/>
      <c r="B26" s="95"/>
      <c r="C26" s="95"/>
      <c r="D26" s="17" t="s">
        <v>29</v>
      </c>
      <c r="E26" s="17" t="s">
        <v>25</v>
      </c>
      <c r="F26" s="17" t="s">
        <v>25</v>
      </c>
      <c r="G26" s="18" t="s">
        <v>74</v>
      </c>
      <c r="H26" s="18" t="s">
        <v>70</v>
      </c>
      <c r="I26" s="18">
        <f>'MERCADO TUSD'!$U$23</f>
        <v>0</v>
      </c>
      <c r="J26" s="15"/>
      <c r="L26" s="13">
        <f>'TR TUSD'!$L$26*'TR TUSD'!$L$60</f>
        <v>0</v>
      </c>
      <c r="M26" s="13">
        <f>'TR TUSD'!$M$26*'TR TUSD'!$M$60</f>
        <v>2.6337825076414725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2.6337825076414725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154.64750636200614</v>
      </c>
      <c r="Z26" s="13">
        <f>'TR TUSD'!$Z$26</f>
        <v>0</v>
      </c>
      <c r="AA26" s="13">
        <f>'TR TUSD'!$AA$26</f>
        <v>0</v>
      </c>
      <c r="AB26" s="13">
        <f>SUM($U$26:$AA$26)</f>
        <v>154.64750636200614</v>
      </c>
      <c r="AC26" s="13">
        <f>'TR TUSD'!$AC$26*'TR TUSD'!$AC$60</f>
        <v>651.53228396140344</v>
      </c>
      <c r="AD26" s="13">
        <f>SUM($AC$26:$AC$26)</f>
        <v>651.53228396140344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30.493795902537464</v>
      </c>
      <c r="AI26" s="13">
        <f>'TR TUSD'!$AI$26*'TR TUSD'!$AI$60</f>
        <v>0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30.493795902537464</v>
      </c>
      <c r="AM26" s="13">
        <f ca="1">SUMIF($L$4:$AL$4,"SUBTOTAL",$L$26:$AL$26)</f>
        <v>839.30736873358853</v>
      </c>
      <c r="AP26" s="13">
        <f>IF((1 - CUSTOS!$M$24)&lt;&gt;0,1/(1 - CUSTOS!$M$24),1)</f>
        <v>1</v>
      </c>
    </row>
    <row r="27" spans="1:42" ht="11.25" customHeight="1" x14ac:dyDescent="0.3">
      <c r="A27" s="95"/>
      <c r="B27" s="95"/>
      <c r="C27" s="95"/>
      <c r="D27" s="17" t="s">
        <v>30</v>
      </c>
      <c r="E27" s="17" t="s">
        <v>25</v>
      </c>
      <c r="F27" s="17" t="s">
        <v>25</v>
      </c>
      <c r="G27" s="18" t="s">
        <v>74</v>
      </c>
      <c r="H27" s="18" t="s">
        <v>70</v>
      </c>
      <c r="I27" s="18">
        <f>'MERCADO TUSD'!$U$24</f>
        <v>0</v>
      </c>
      <c r="J27" s="15"/>
      <c r="L27" s="13">
        <f>'TR TUSD'!$L$27*'TR TUSD'!$L$60</f>
        <v>0</v>
      </c>
      <c r="M27" s="13">
        <f>'TR TUSD'!$M$27*'TR TUSD'!$M$60</f>
        <v>2.6337825076414725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2.6337825076414725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154.64750636200614</v>
      </c>
      <c r="Z27" s="13">
        <f>'TR TUSD'!$Z$27</f>
        <v>0</v>
      </c>
      <c r="AA27" s="13">
        <f>'TR TUSD'!$AA$27</f>
        <v>0</v>
      </c>
      <c r="AB27" s="13">
        <f>SUM($U$27:$AA$27)</f>
        <v>154.64750636200614</v>
      </c>
      <c r="AC27" s="13">
        <f>'TR TUSD'!$AC$27*'TR TUSD'!$AC$60</f>
        <v>651.53228396140344</v>
      </c>
      <c r="AD27" s="13">
        <f>SUM($AC$27:$AC$27)</f>
        <v>651.53228396140344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30.493795902537464</v>
      </c>
      <c r="AI27" s="13">
        <f>'TR TUSD'!$AI$27*'TR TUSD'!$AI$60</f>
        <v>0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30.493795902537464</v>
      </c>
      <c r="AM27" s="13">
        <f ca="1">SUMIF($L$4:$AL$4,"SUBTOTAL",$L$27:$AL$27)</f>
        <v>839.30736873358853</v>
      </c>
      <c r="AP27" s="13">
        <f>IF((1 - CUSTOS!$M$25)&lt;&gt;0,1/(1 - CUSTOS!$M$25),1)</f>
        <v>1</v>
      </c>
    </row>
    <row r="28" spans="1:42" ht="11.25" customHeight="1" x14ac:dyDescent="0.3">
      <c r="A28" s="95"/>
      <c r="B28" s="95"/>
      <c r="C28" s="95"/>
      <c r="D28" s="17" t="s">
        <v>31</v>
      </c>
      <c r="E28" s="17" t="s">
        <v>25</v>
      </c>
      <c r="F28" s="17" t="s">
        <v>25</v>
      </c>
      <c r="G28" s="18" t="s">
        <v>74</v>
      </c>
      <c r="H28" s="18" t="s">
        <v>70</v>
      </c>
      <c r="I28" s="18">
        <f>'MERCADO TUSD'!$U$25</f>
        <v>0</v>
      </c>
      <c r="J28" s="15"/>
      <c r="L28" s="13">
        <f>'TR TUSD'!$L$28*'TR TUSD'!$L$60</f>
        <v>0</v>
      </c>
      <c r="M28" s="13">
        <f>'TR TUSD'!$M$28*'TR TUSD'!$M$60</f>
        <v>2.6337825076414725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2.6337825076414725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154.64750636200614</v>
      </c>
      <c r="Z28" s="13">
        <f>'TR TUSD'!$Z$28</f>
        <v>0</v>
      </c>
      <c r="AA28" s="13">
        <f>'TR TUSD'!$AA$28</f>
        <v>0</v>
      </c>
      <c r="AB28" s="13">
        <f>SUM($U$28:$AA$28)</f>
        <v>154.64750636200614</v>
      </c>
      <c r="AC28" s="13">
        <f>'TR TUSD'!$AC$28*'TR TUSD'!$AC$60</f>
        <v>651.53228396140344</v>
      </c>
      <c r="AD28" s="13">
        <f>SUM($AC$28:$AC$28)</f>
        <v>651.53228396140344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30.493795902537464</v>
      </c>
      <c r="AI28" s="13">
        <f>'TR TUSD'!$AI$28*'TR TUSD'!$AI$60</f>
        <v>0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30.493795902537464</v>
      </c>
      <c r="AM28" s="13">
        <f ca="1">SUMIF($L$4:$AL$4,"SUBTOTAL",$L$28:$AL$28)</f>
        <v>839.30736873358853</v>
      </c>
      <c r="AP28" s="13">
        <f>IF((1 - CUSTOS!$M$26)&lt;&gt;0,1/(1 - CUSTOS!$M$26),1)</f>
        <v>1</v>
      </c>
    </row>
    <row r="29" spans="1:42" ht="11.25" customHeight="1" x14ac:dyDescent="0.3">
      <c r="A29" s="95"/>
      <c r="B29" s="95"/>
      <c r="C29" s="95"/>
      <c r="D29" s="17" t="s">
        <v>32</v>
      </c>
      <c r="E29" s="17" t="s">
        <v>25</v>
      </c>
      <c r="F29" s="17" t="s">
        <v>25</v>
      </c>
      <c r="G29" s="18" t="s">
        <v>74</v>
      </c>
      <c r="H29" s="18" t="s">
        <v>70</v>
      </c>
      <c r="I29" s="18">
        <f>'MERCADO TUSD'!$U$26</f>
        <v>0</v>
      </c>
      <c r="J29" s="15"/>
      <c r="L29" s="13">
        <f>'TR TUSD'!$L$29*'TR TUSD'!$L$60</f>
        <v>0</v>
      </c>
      <c r="M29" s="13">
        <f>'TR TUSD'!$M$29*'TR TUSD'!$M$60</f>
        <v>2.6337825076414725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2.6337825076414725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154.64750636200614</v>
      </c>
      <c r="Z29" s="13">
        <f>'TR TUSD'!$Z$29</f>
        <v>0</v>
      </c>
      <c r="AA29" s="13">
        <f>'TR TUSD'!$AA$29</f>
        <v>0</v>
      </c>
      <c r="AB29" s="13">
        <f>SUM($U$29:$AA$29)</f>
        <v>154.64750636200614</v>
      </c>
      <c r="AC29" s="13">
        <f>'TR TUSD'!$AC$29*'TR TUSD'!$AC$60</f>
        <v>651.53228396140344</v>
      </c>
      <c r="AD29" s="13">
        <f>SUM($AC$29:$AC$29)</f>
        <v>651.53228396140344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30.493795902537464</v>
      </c>
      <c r="AI29" s="13">
        <f>'TR TUSD'!$AI$29*'TR TUSD'!$AI$60</f>
        <v>0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30.493795902537464</v>
      </c>
      <c r="AM29" s="13">
        <f ca="1">SUMIF($L$4:$AL$4,"SUBTOTAL",$L$29:$AL$29)</f>
        <v>839.30736873358853</v>
      </c>
      <c r="AP29" s="13">
        <f>IF((1 - CUSTOS!$M$27)&lt;&gt;0,1/(1 - CUSTOS!$M$27),1)</f>
        <v>1</v>
      </c>
    </row>
    <row r="30" spans="1:42" ht="11.25" customHeight="1" x14ac:dyDescent="0.3">
      <c r="A30" s="95" t="s">
        <v>43</v>
      </c>
      <c r="B30" s="95" t="s">
        <v>33</v>
      </c>
      <c r="C30" s="95" t="s">
        <v>44</v>
      </c>
      <c r="D30" s="95" t="s">
        <v>25</v>
      </c>
      <c r="E30" s="95" t="s">
        <v>25</v>
      </c>
      <c r="F30" s="95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>
        <f>'TR TUSD'!$L$30*'TR TUSD'!$L$60</f>
        <v>0</v>
      </c>
      <c r="M30" s="13">
        <f>'TR TUSD'!$M$30*'TR TUSD'!$M$60</f>
        <v>2.6337825076414725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92.608412521807793</v>
      </c>
      <c r="R30" s="13">
        <f>'TR TUSD'!$R$30*'TR TUSD'!$R$60</f>
        <v>14.630048180624657</v>
      </c>
      <c r="S30" s="13">
        <f>'TR TUSD'!$S$30*'TR TUSD'!$S$60</f>
        <v>0</v>
      </c>
      <c r="T30" s="13">
        <f ca="1">SUM($L$30:$S$30)</f>
        <v>109.87224321007392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456.22934838115088</v>
      </c>
      <c r="Z30" s="13">
        <f>'TR TUSD'!$Z$30</f>
        <v>0</v>
      </c>
      <c r="AA30" s="13">
        <f>'TR TUSD'!$AA$30</f>
        <v>0</v>
      </c>
      <c r="AB30" s="13">
        <f>SUM($U$30:$AA$30)</f>
        <v>456.22934838115088</v>
      </c>
      <c r="AC30" s="13">
        <f>'TR TUSD'!$AC$30*'TR TUSD'!$AC$60</f>
        <v>1922.0198937641335</v>
      </c>
      <c r="AD30" s="13">
        <f>SUM($AC$30:$AC$30)</f>
        <v>1922.0198937641335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30.493795902537464</v>
      </c>
      <c r="AI30" s="13">
        <f>'TR TUSD'!$AI$30*'TR TUSD'!$AI$60</f>
        <v>0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30.493795902537464</v>
      </c>
      <c r="AM30" s="13">
        <f ca="1">SUMIF($L$4:$AL$4,"SUBTOTAL",$L$30:$AL$30)</f>
        <v>2518.6152812578957</v>
      </c>
      <c r="AP30" s="13">
        <f>IF((1 - CUSTOS!$M$28)&lt;&gt;0,1/(1 - CUSTOS!$M$28),1)</f>
        <v>1</v>
      </c>
    </row>
    <row r="31" spans="1:42" ht="11.25" customHeight="1" x14ac:dyDescent="0.3">
      <c r="A31" s="95"/>
      <c r="B31" s="95"/>
      <c r="C31" s="95"/>
      <c r="D31" s="95"/>
      <c r="E31" s="95"/>
      <c r="F31" s="95"/>
      <c r="G31" s="18" t="s">
        <v>83</v>
      </c>
      <c r="H31" s="18" t="s">
        <v>70</v>
      </c>
      <c r="I31" s="18">
        <f>'MERCADO TUSD'!$U$28</f>
        <v>0</v>
      </c>
      <c r="J31" s="15"/>
      <c r="L31" s="13">
        <f>'TR TUSD'!$L$31*'TR TUSD'!$L$60</f>
        <v>0</v>
      </c>
      <c r="M31" s="13">
        <f>'TR TUSD'!$M$31*'TR TUSD'!$M$60</f>
        <v>2.6337825076414725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92.608412521807793</v>
      </c>
      <c r="R31" s="13">
        <f>'TR TUSD'!$R$31*'TR TUSD'!$R$60</f>
        <v>14.630048180624657</v>
      </c>
      <c r="S31" s="13">
        <f>'TR TUSD'!$S$31*'TR TUSD'!$S$60</f>
        <v>0</v>
      </c>
      <c r="T31" s="13">
        <f ca="1">SUM($L$31:$S$31)</f>
        <v>109.87224321007392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273.70709048359646</v>
      </c>
      <c r="Z31" s="13">
        <f>'TR TUSD'!$Z$31</f>
        <v>0</v>
      </c>
      <c r="AA31" s="13">
        <f>'TR TUSD'!$AA$31</f>
        <v>0</v>
      </c>
      <c r="AB31" s="13">
        <f>SUM($U$31:$AA$31)</f>
        <v>273.70709048359646</v>
      </c>
      <c r="AC31" s="13">
        <f>'TR TUSD'!$AC$31*'TR TUSD'!$AC$60</f>
        <v>1153.2116478077651</v>
      </c>
      <c r="AD31" s="13">
        <f>SUM($AC$31:$AC$31)</f>
        <v>1153.2116478077651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30.493795902537464</v>
      </c>
      <c r="AI31" s="13">
        <f>'TR TUSD'!$AI$31*'TR TUSD'!$AI$60</f>
        <v>0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30.493795902537464</v>
      </c>
      <c r="AM31" s="13">
        <f ca="1">SUMIF($L$4:$AL$4,"SUBTOTAL",$L$31:$AL$31)</f>
        <v>1567.2847774039728</v>
      </c>
      <c r="AP31" s="13">
        <f>IF((1 - CUSTOS!$M$28)&lt;&gt;0,1/(1 - CUSTOS!$M$28),1)</f>
        <v>1</v>
      </c>
    </row>
    <row r="32" spans="1:42" ht="11.25" customHeight="1" x14ac:dyDescent="0.3">
      <c r="A32" s="95"/>
      <c r="B32" s="95"/>
      <c r="C32" s="95"/>
      <c r="D32" s="95"/>
      <c r="E32" s="95"/>
      <c r="F32" s="95"/>
      <c r="G32" s="18" t="s">
        <v>72</v>
      </c>
      <c r="H32" s="18" t="s">
        <v>70</v>
      </c>
      <c r="I32" s="18">
        <f>'MERCADO TUSD'!$U$29</f>
        <v>0</v>
      </c>
      <c r="J32" s="15"/>
      <c r="L32" s="13">
        <f>'TR TUSD'!$L$32*'TR TUSD'!$L$60</f>
        <v>0</v>
      </c>
      <c r="M32" s="13">
        <f>'TR TUSD'!$M$32*'TR TUSD'!$M$60</f>
        <v>2.6337825076414725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92.608412521807793</v>
      </c>
      <c r="R32" s="13">
        <f>'TR TUSD'!$R$32*'TR TUSD'!$R$60</f>
        <v>14.630048180624657</v>
      </c>
      <c r="S32" s="13">
        <f>'TR TUSD'!$S$32*'TR TUSD'!$S$60</f>
        <v>0</v>
      </c>
      <c r="T32" s="13">
        <f ca="1">SUM($L$32:$S$32)</f>
        <v>109.87224321007392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91.18483258604212</v>
      </c>
      <c r="Z32" s="13">
        <f>'TR TUSD'!$Z$32</f>
        <v>0</v>
      </c>
      <c r="AA32" s="13">
        <f>'TR TUSD'!$AA$32</f>
        <v>0</v>
      </c>
      <c r="AB32" s="13">
        <f>SUM($U$32:$AA$32)</f>
        <v>91.18483258604212</v>
      </c>
      <c r="AC32" s="13">
        <f>'TR TUSD'!$AC$32*'TR TUSD'!$AC$60</f>
        <v>384.40384562172733</v>
      </c>
      <c r="AD32" s="13">
        <f>SUM($AC$32:$AC$32)</f>
        <v>384.40384562172733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30.493795902537464</v>
      </c>
      <c r="AI32" s="13">
        <f>'TR TUSD'!$AI$32*'TR TUSD'!$AI$60</f>
        <v>0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30.493795902537464</v>
      </c>
      <c r="AM32" s="13">
        <f ca="1">SUMIF($L$4:$AL$4,"SUBTOTAL",$L$32:$AL$32)</f>
        <v>615.95471732038084</v>
      </c>
      <c r="AP32" s="13">
        <f>IF((1 - CUSTOS!$M$28)&lt;&gt;0,1/(1 - CUSTOS!$M$28),1)</f>
        <v>1</v>
      </c>
    </row>
    <row r="33" spans="1:42" ht="11.25" customHeight="1" x14ac:dyDescent="0.3">
      <c r="A33" s="95"/>
      <c r="B33" s="17" t="s">
        <v>23</v>
      </c>
      <c r="C33" s="17" t="s">
        <v>44</v>
      </c>
      <c r="D33" s="17" t="s">
        <v>25</v>
      </c>
      <c r="E33" s="17" t="s">
        <v>25</v>
      </c>
      <c r="F33" s="17" t="s">
        <v>25</v>
      </c>
      <c r="G33" s="18" t="s">
        <v>74</v>
      </c>
      <c r="H33" s="18" t="s">
        <v>70</v>
      </c>
      <c r="I33" s="18">
        <f>'MERCADO TUSD'!$U$30</f>
        <v>19400.674999999996</v>
      </c>
      <c r="J33" s="15"/>
      <c r="L33" s="13">
        <f>'TR TUSD'!$L$33*'TR TUSD'!$L$60</f>
        <v>0</v>
      </c>
      <c r="M33" s="13">
        <f>'TR TUSD'!$M$33*'TR TUSD'!$M$60</f>
        <v>2.6337825076414725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92.608412521807793</v>
      </c>
      <c r="R33" s="13">
        <f>'TR TUSD'!$R$33*'TR TUSD'!$R$60</f>
        <v>14.630048180624657</v>
      </c>
      <c r="S33" s="13">
        <f>'TR TUSD'!$S$33*'TR TUSD'!$S$60</f>
        <v>0</v>
      </c>
      <c r="T33" s="13">
        <f ca="1">SUM($L$33:$S$33)</f>
        <v>109.87224321007392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154.64750636200614</v>
      </c>
      <c r="Z33" s="13">
        <f>'TR TUSD'!$Z$33</f>
        <v>0</v>
      </c>
      <c r="AA33" s="13">
        <f>'TR TUSD'!$AA$33</f>
        <v>0</v>
      </c>
      <c r="AB33" s="13">
        <f>SUM($U$33:$AA$33)</f>
        <v>154.64750636200614</v>
      </c>
      <c r="AC33" s="13">
        <f>'TR TUSD'!$AC$33*'TR TUSD'!$AC$60</f>
        <v>651.53228396140344</v>
      </c>
      <c r="AD33" s="13">
        <f>SUM($AC$33:$AC$33)</f>
        <v>651.53228396140344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30.493795902537464</v>
      </c>
      <c r="AI33" s="13">
        <f>'TR TUSD'!$AI$33*'TR TUSD'!$AI$60</f>
        <v>0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30.493795902537464</v>
      </c>
      <c r="AM33" s="13">
        <f ca="1">SUMIF($L$4:$AL$4,"SUBTOTAL",$L$33:$AL$33)</f>
        <v>946.54582943602099</v>
      </c>
      <c r="AP33" s="13">
        <f>IF((1 - CUSTOS!$M$28)&lt;&gt;0,1/(1 - CUSTOS!$M$28),1)</f>
        <v>1</v>
      </c>
    </row>
    <row r="34" spans="1:42" ht="11.25" customHeight="1" x14ac:dyDescent="0.3">
      <c r="A34" s="95"/>
      <c r="B34" s="95" t="s">
        <v>33</v>
      </c>
      <c r="C34" s="95" t="s">
        <v>44</v>
      </c>
      <c r="D34" s="95" t="s">
        <v>86</v>
      </c>
      <c r="E34" s="95" t="s">
        <v>25</v>
      </c>
      <c r="F34" s="95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>
        <f>'TR TUSD'!$L$34*'TR TUSD'!$L$60</f>
        <v>0</v>
      </c>
      <c r="M34" s="13">
        <f>'TR TUSD'!$M$34*'TR TUSD'!$M$60</f>
        <v>2.6337825076414725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92.608412521807793</v>
      </c>
      <c r="R34" s="13">
        <f>'TR TUSD'!$R$34*'TR TUSD'!$R$60</f>
        <v>14.630048180624657</v>
      </c>
      <c r="S34" s="13">
        <f>'TR TUSD'!$S$34*'TR TUSD'!$S$60</f>
        <v>0</v>
      </c>
      <c r="T34" s="13">
        <f ca="1">SUM($L$34:$S$34)</f>
        <v>109.87224321007392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456.22934838115088</v>
      </c>
      <c r="Z34" s="13">
        <f>'TR TUSD'!$Z$34</f>
        <v>0</v>
      </c>
      <c r="AA34" s="13">
        <f>'TR TUSD'!$AA$34</f>
        <v>0</v>
      </c>
      <c r="AB34" s="13">
        <f>SUM($U$34:$AA$34)</f>
        <v>456.22934838115088</v>
      </c>
      <c r="AC34" s="13">
        <f>'TR TUSD'!$AC$34*'TR TUSD'!$AC$60</f>
        <v>1922.0198937641335</v>
      </c>
      <c r="AD34" s="13">
        <f>SUM($AC$34:$AC$34)</f>
        <v>1922.0198937641335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30.493795902537464</v>
      </c>
      <c r="AI34" s="13">
        <f>'TR TUSD'!$AI$34*'TR TUSD'!$AI$60</f>
        <v>0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30.493795902537464</v>
      </c>
      <c r="AM34" s="13">
        <f ca="1">SUMIF($L$4:$AL$4,"SUBTOTAL",$L$34:$AL$34)</f>
        <v>2518.6152812578957</v>
      </c>
      <c r="AP34" s="13">
        <f>IF((1 - CUSTOS!$M$29)&lt;&gt;0,1/(1 - CUSTOS!$M$29),1)</f>
        <v>1</v>
      </c>
    </row>
    <row r="35" spans="1:42" ht="11.25" customHeight="1" x14ac:dyDescent="0.3">
      <c r="A35" s="95"/>
      <c r="B35" s="95"/>
      <c r="C35" s="95"/>
      <c r="D35" s="95"/>
      <c r="E35" s="95"/>
      <c r="F35" s="95"/>
      <c r="G35" s="18" t="s">
        <v>83</v>
      </c>
      <c r="H35" s="18" t="s">
        <v>70</v>
      </c>
      <c r="I35" s="18">
        <f>'MERCADO TUSD'!$U$32</f>
        <v>0</v>
      </c>
      <c r="J35" s="15"/>
      <c r="L35" s="13">
        <f>'TR TUSD'!$L$35*'TR TUSD'!$L$60</f>
        <v>0</v>
      </c>
      <c r="M35" s="13">
        <f>'TR TUSD'!$M$35*'TR TUSD'!$M$60</f>
        <v>2.6337825076414725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92.608412521807793</v>
      </c>
      <c r="R35" s="13">
        <f>'TR TUSD'!$R$35*'TR TUSD'!$R$60</f>
        <v>14.630048180624657</v>
      </c>
      <c r="S35" s="13">
        <f>'TR TUSD'!$S$35*'TR TUSD'!$S$60</f>
        <v>0</v>
      </c>
      <c r="T35" s="13">
        <f ca="1">SUM($L$35:$S$35)</f>
        <v>109.87224321007392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273.70709048359646</v>
      </c>
      <c r="Z35" s="13">
        <f>'TR TUSD'!$Z$35</f>
        <v>0</v>
      </c>
      <c r="AA35" s="13">
        <f>'TR TUSD'!$AA$35</f>
        <v>0</v>
      </c>
      <c r="AB35" s="13">
        <f>SUM($U$35:$AA$35)</f>
        <v>273.70709048359646</v>
      </c>
      <c r="AC35" s="13">
        <f>'TR TUSD'!$AC$35*'TR TUSD'!$AC$60</f>
        <v>1153.2116478077651</v>
      </c>
      <c r="AD35" s="13">
        <f>SUM($AC$35:$AC$35)</f>
        <v>1153.2116478077651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30.493795902537464</v>
      </c>
      <c r="AI35" s="13">
        <f>'TR TUSD'!$AI$35*'TR TUSD'!$AI$60</f>
        <v>0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30.493795902537464</v>
      </c>
      <c r="AM35" s="13">
        <f ca="1">SUMIF($L$4:$AL$4,"SUBTOTAL",$L$35:$AL$35)</f>
        <v>1567.2847774039728</v>
      </c>
      <c r="AP35" s="13">
        <f>IF((1 - CUSTOS!$M$29)&lt;&gt;0,1/(1 - CUSTOS!$M$29),1)</f>
        <v>1</v>
      </c>
    </row>
    <row r="36" spans="1:42" ht="11.25" customHeight="1" x14ac:dyDescent="0.3">
      <c r="A36" s="95"/>
      <c r="B36" s="95"/>
      <c r="C36" s="95"/>
      <c r="D36" s="95"/>
      <c r="E36" s="95"/>
      <c r="F36" s="95"/>
      <c r="G36" s="18" t="s">
        <v>72</v>
      </c>
      <c r="H36" s="18" t="s">
        <v>70</v>
      </c>
      <c r="I36" s="18">
        <f>'MERCADO TUSD'!$U$33</f>
        <v>0</v>
      </c>
      <c r="J36" s="15"/>
      <c r="L36" s="13">
        <f>'TR TUSD'!$L$36*'TR TUSD'!$L$60</f>
        <v>0</v>
      </c>
      <c r="M36" s="13">
        <f>'TR TUSD'!$M$36*'TR TUSD'!$M$60</f>
        <v>2.6337825076414725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92.608412521807793</v>
      </c>
      <c r="R36" s="13">
        <f>'TR TUSD'!$R$36*'TR TUSD'!$R$60</f>
        <v>14.630048180624657</v>
      </c>
      <c r="S36" s="13">
        <f>'TR TUSD'!$S$36*'TR TUSD'!$S$60</f>
        <v>0</v>
      </c>
      <c r="T36" s="13">
        <f ca="1">SUM($L$36:$S$36)</f>
        <v>109.87224321007392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91.18483258604212</v>
      </c>
      <c r="Z36" s="13">
        <f>'TR TUSD'!$Z$36</f>
        <v>0</v>
      </c>
      <c r="AA36" s="13">
        <f>'TR TUSD'!$AA$36</f>
        <v>0</v>
      </c>
      <c r="AB36" s="13">
        <f>SUM($U$36:$AA$36)</f>
        <v>91.18483258604212</v>
      </c>
      <c r="AC36" s="13">
        <f>'TR TUSD'!$AC$36*'TR TUSD'!$AC$60</f>
        <v>384.40384562172733</v>
      </c>
      <c r="AD36" s="13">
        <f>SUM($AC$36:$AC$36)</f>
        <v>384.40384562172733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30.493795902537464</v>
      </c>
      <c r="AI36" s="13">
        <f>'TR TUSD'!$AI$36*'TR TUSD'!$AI$60</f>
        <v>0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30.493795902537464</v>
      </c>
      <c r="AM36" s="13">
        <f ca="1">SUMIF($L$4:$AL$4,"SUBTOTAL",$L$36:$AL$36)</f>
        <v>615.95471732038084</v>
      </c>
      <c r="AP36" s="13">
        <f>IF((1 - CUSTOS!$M$29)&lt;&gt;0,1/(1 - CUSTOS!$M$29),1)</f>
        <v>1</v>
      </c>
    </row>
    <row r="37" spans="1:42" ht="11.25" customHeight="1" x14ac:dyDescent="0.3">
      <c r="A37" s="95"/>
      <c r="B37" s="17" t="s">
        <v>23</v>
      </c>
      <c r="C37" s="17" t="s">
        <v>44</v>
      </c>
      <c r="D37" s="17" t="s">
        <v>86</v>
      </c>
      <c r="E37" s="17" t="s">
        <v>25</v>
      </c>
      <c r="F37" s="17" t="s">
        <v>25</v>
      </c>
      <c r="G37" s="18" t="s">
        <v>74</v>
      </c>
      <c r="H37" s="18" t="s">
        <v>70</v>
      </c>
      <c r="I37" s="18">
        <f>'MERCADO TUSD'!$U$34</f>
        <v>0</v>
      </c>
      <c r="J37" s="15"/>
      <c r="L37" s="13">
        <f>'TR TUSD'!$L$37*'TR TUSD'!$L$60</f>
        <v>0</v>
      </c>
      <c r="M37" s="13">
        <f>'TR TUSD'!$M$37*'TR TUSD'!$M$60</f>
        <v>2.6337825076414725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92.608412521807793</v>
      </c>
      <c r="R37" s="13">
        <f>'TR TUSD'!$R$37*'TR TUSD'!$R$60</f>
        <v>14.630048180624657</v>
      </c>
      <c r="S37" s="13">
        <f>'TR TUSD'!$S$37*'TR TUSD'!$S$60</f>
        <v>0</v>
      </c>
      <c r="T37" s="13">
        <f ca="1">SUM($L$37:$S$37)</f>
        <v>109.87224321007392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154.64750636200614</v>
      </c>
      <c r="Z37" s="13">
        <f>'TR TUSD'!$Z$37</f>
        <v>0</v>
      </c>
      <c r="AA37" s="13">
        <f>'TR TUSD'!$AA$37</f>
        <v>0</v>
      </c>
      <c r="AB37" s="13">
        <f>SUM($U$37:$AA$37)</f>
        <v>154.64750636200614</v>
      </c>
      <c r="AC37" s="13">
        <f>'TR TUSD'!$AC$37*'TR TUSD'!$AC$60</f>
        <v>651.53228396140344</v>
      </c>
      <c r="AD37" s="13">
        <f>SUM($AC$37:$AC$37)</f>
        <v>651.53228396140344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30.493795902537464</v>
      </c>
      <c r="AI37" s="13">
        <f>'TR TUSD'!$AI$37*'TR TUSD'!$AI$60</f>
        <v>0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30.493795902537464</v>
      </c>
      <c r="AM37" s="13">
        <f ca="1">SUMIF($L$4:$AL$4,"SUBTOTAL",$L$37:$AL$37)</f>
        <v>946.54582943602099</v>
      </c>
      <c r="AP37" s="13">
        <f>IF((1 - CUSTOS!$M$29)&lt;&gt;0,1/(1 - CUSTOS!$M$29),1)</f>
        <v>1</v>
      </c>
    </row>
    <row r="38" spans="1:42" ht="11.25" customHeight="1" x14ac:dyDescent="0.3">
      <c r="A38" s="95"/>
      <c r="B38" s="95" t="s">
        <v>33</v>
      </c>
      <c r="C38" s="95" t="s">
        <v>44</v>
      </c>
      <c r="D38" s="95" t="s">
        <v>87</v>
      </c>
      <c r="E38" s="95" t="s">
        <v>25</v>
      </c>
      <c r="F38" s="95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>
        <f>'TR TUSD'!$L$38*'TR TUSD'!$L$60</f>
        <v>0</v>
      </c>
      <c r="M38" s="13">
        <f>'TR TUSD'!$M$38*'TR TUSD'!$M$60</f>
        <v>2.6337825076414725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92.608412521807793</v>
      </c>
      <c r="R38" s="13">
        <f>'TR TUSD'!$R$38*'TR TUSD'!$R$60</f>
        <v>14.630048180624657</v>
      </c>
      <c r="S38" s="13">
        <f>'TR TUSD'!$S$38*'TR TUSD'!$S$60</f>
        <v>0</v>
      </c>
      <c r="T38" s="13">
        <f ca="1">SUM($L$38:$S$38)</f>
        <v>109.87224321007392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456.22934838115088</v>
      </c>
      <c r="Z38" s="13">
        <f>'TR TUSD'!$Z$38</f>
        <v>0</v>
      </c>
      <c r="AA38" s="13">
        <f>'TR TUSD'!$AA$38</f>
        <v>0</v>
      </c>
      <c r="AB38" s="13">
        <f>SUM($U$38:$AA$38)</f>
        <v>456.22934838115088</v>
      </c>
      <c r="AC38" s="13">
        <f>'TR TUSD'!$AC$38*'TR TUSD'!$AC$60</f>
        <v>1922.0198937641335</v>
      </c>
      <c r="AD38" s="13">
        <f>SUM($AC$38:$AC$38)</f>
        <v>1922.0198937641335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30.493795902537464</v>
      </c>
      <c r="AI38" s="13">
        <f>'TR TUSD'!$AI$38*'TR TUSD'!$AI$60</f>
        <v>0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30.493795902537464</v>
      </c>
      <c r="AM38" s="13">
        <f ca="1">SUMIF($L$4:$AL$4,"SUBTOTAL",$L$38:$AL$38)</f>
        <v>2518.6152812578957</v>
      </c>
      <c r="AP38" s="13">
        <f>IF((1 - CUSTOS!$M$30)&lt;&gt;0,1/(1 - CUSTOS!$M$30),1)</f>
        <v>1</v>
      </c>
    </row>
    <row r="39" spans="1:42" ht="11.25" customHeight="1" x14ac:dyDescent="0.3">
      <c r="A39" s="95"/>
      <c r="B39" s="95"/>
      <c r="C39" s="95"/>
      <c r="D39" s="95"/>
      <c r="E39" s="95"/>
      <c r="F39" s="95"/>
      <c r="G39" s="18" t="s">
        <v>83</v>
      </c>
      <c r="H39" s="18" t="s">
        <v>70</v>
      </c>
      <c r="I39" s="18">
        <f>'MERCADO TUSD'!$U$36</f>
        <v>0</v>
      </c>
      <c r="J39" s="15"/>
      <c r="L39" s="13">
        <f>'TR TUSD'!$L$39*'TR TUSD'!$L$60</f>
        <v>0</v>
      </c>
      <c r="M39" s="13">
        <f>'TR TUSD'!$M$39*'TR TUSD'!$M$60</f>
        <v>2.6337825076414725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92.608412521807793</v>
      </c>
      <c r="R39" s="13">
        <f>'TR TUSD'!$R$39*'TR TUSD'!$R$60</f>
        <v>14.630048180624657</v>
      </c>
      <c r="S39" s="13">
        <f>'TR TUSD'!$S$39*'TR TUSD'!$S$60</f>
        <v>0</v>
      </c>
      <c r="T39" s="13">
        <f ca="1">SUM($L$39:$S$39)</f>
        <v>109.87224321007392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273.70709048359646</v>
      </c>
      <c r="Z39" s="13">
        <f>'TR TUSD'!$Z$39</f>
        <v>0</v>
      </c>
      <c r="AA39" s="13">
        <f>'TR TUSD'!$AA$39</f>
        <v>0</v>
      </c>
      <c r="AB39" s="13">
        <f>SUM($U$39:$AA$39)</f>
        <v>273.70709048359646</v>
      </c>
      <c r="AC39" s="13">
        <f>'TR TUSD'!$AC$39*'TR TUSD'!$AC$60</f>
        <v>1153.2116478077651</v>
      </c>
      <c r="AD39" s="13">
        <f>SUM($AC$39:$AC$39)</f>
        <v>1153.2116478077651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30.493795902537464</v>
      </c>
      <c r="AI39" s="13">
        <f>'TR TUSD'!$AI$39*'TR TUSD'!$AI$60</f>
        <v>0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30.493795902537464</v>
      </c>
      <c r="AM39" s="13">
        <f ca="1">SUMIF($L$4:$AL$4,"SUBTOTAL",$L$39:$AL$39)</f>
        <v>1567.2847774039728</v>
      </c>
      <c r="AP39" s="13">
        <f>IF((1 - CUSTOS!$M$30)&lt;&gt;0,1/(1 - CUSTOS!$M$30),1)</f>
        <v>1</v>
      </c>
    </row>
    <row r="40" spans="1:42" ht="11.25" customHeight="1" x14ac:dyDescent="0.3">
      <c r="A40" s="95"/>
      <c r="B40" s="95"/>
      <c r="C40" s="95"/>
      <c r="D40" s="95"/>
      <c r="E40" s="95"/>
      <c r="F40" s="95"/>
      <c r="G40" s="18" t="s">
        <v>72</v>
      </c>
      <c r="H40" s="18" t="s">
        <v>70</v>
      </c>
      <c r="I40" s="18">
        <f>'MERCADO TUSD'!$U$37</f>
        <v>0</v>
      </c>
      <c r="J40" s="15"/>
      <c r="L40" s="13">
        <f>'TR TUSD'!$L$40*'TR TUSD'!$L$60</f>
        <v>0</v>
      </c>
      <c r="M40" s="13">
        <f>'TR TUSD'!$M$40*'TR TUSD'!$M$60</f>
        <v>2.6337825076414725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92.608412521807793</v>
      </c>
      <c r="R40" s="13">
        <f>'TR TUSD'!$R$40*'TR TUSD'!$R$60</f>
        <v>14.630048180624657</v>
      </c>
      <c r="S40" s="13">
        <f>'TR TUSD'!$S$40*'TR TUSD'!$S$60</f>
        <v>0</v>
      </c>
      <c r="T40" s="13">
        <f ca="1">SUM($L$40:$S$40)</f>
        <v>109.87224321007392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91.18483258604212</v>
      </c>
      <c r="Z40" s="13">
        <f>'TR TUSD'!$Z$40</f>
        <v>0</v>
      </c>
      <c r="AA40" s="13">
        <f>'TR TUSD'!$AA$40</f>
        <v>0</v>
      </c>
      <c r="AB40" s="13">
        <f>SUM($U$40:$AA$40)</f>
        <v>91.18483258604212</v>
      </c>
      <c r="AC40" s="13">
        <f>'TR TUSD'!$AC$40*'TR TUSD'!$AC$60</f>
        <v>384.40384562172733</v>
      </c>
      <c r="AD40" s="13">
        <f>SUM($AC$40:$AC$40)</f>
        <v>384.40384562172733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30.493795902537464</v>
      </c>
      <c r="AI40" s="13">
        <f>'TR TUSD'!$AI$40*'TR TUSD'!$AI$60</f>
        <v>0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30.493795902537464</v>
      </c>
      <c r="AM40" s="13">
        <f ca="1">SUMIF($L$4:$AL$4,"SUBTOTAL",$L$40:$AL$40)</f>
        <v>615.95471732038084</v>
      </c>
      <c r="AP40" s="13">
        <f>IF((1 - CUSTOS!$M$30)&lt;&gt;0,1/(1 - CUSTOS!$M$30),1)</f>
        <v>1</v>
      </c>
    </row>
    <row r="41" spans="1:42" ht="11.25" customHeight="1" x14ac:dyDescent="0.3">
      <c r="A41" s="95"/>
      <c r="B41" s="17" t="s">
        <v>23</v>
      </c>
      <c r="C41" s="17" t="s">
        <v>44</v>
      </c>
      <c r="D41" s="17" t="s">
        <v>87</v>
      </c>
      <c r="E41" s="17" t="s">
        <v>25</v>
      </c>
      <c r="F41" s="17" t="s">
        <v>25</v>
      </c>
      <c r="G41" s="18" t="s">
        <v>74</v>
      </c>
      <c r="H41" s="18" t="s">
        <v>70</v>
      </c>
      <c r="I41" s="18">
        <f>'MERCADO TUSD'!$U$38</f>
        <v>0</v>
      </c>
      <c r="J41" s="15"/>
      <c r="L41" s="13">
        <f>'TR TUSD'!$L$41*'TR TUSD'!$L$60</f>
        <v>0</v>
      </c>
      <c r="M41" s="13">
        <f>'TR TUSD'!$M$41*'TR TUSD'!$M$60</f>
        <v>2.6337825076414725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92.608412521807793</v>
      </c>
      <c r="R41" s="13">
        <f>'TR TUSD'!$R$41*'TR TUSD'!$R$60</f>
        <v>14.630048180624657</v>
      </c>
      <c r="S41" s="13">
        <f>'TR TUSD'!$S$41*'TR TUSD'!$S$60</f>
        <v>0</v>
      </c>
      <c r="T41" s="13">
        <f ca="1">SUM($L$41:$S$41)</f>
        <v>109.87224321007392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154.64750636200614</v>
      </c>
      <c r="Z41" s="13">
        <f>'TR TUSD'!$Z$41</f>
        <v>0</v>
      </c>
      <c r="AA41" s="13">
        <f>'TR TUSD'!$AA$41</f>
        <v>0</v>
      </c>
      <c r="AB41" s="13">
        <f>SUM($U$41:$AA$41)</f>
        <v>154.64750636200614</v>
      </c>
      <c r="AC41" s="13">
        <f>'TR TUSD'!$AC$41*'TR TUSD'!$AC$60</f>
        <v>651.53228396140344</v>
      </c>
      <c r="AD41" s="13">
        <f>SUM($AC$41:$AC$41)</f>
        <v>651.53228396140344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30.493795902537464</v>
      </c>
      <c r="AI41" s="13">
        <f>'TR TUSD'!$AI$41*'TR TUSD'!$AI$60</f>
        <v>0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30.493795902537464</v>
      </c>
      <c r="AM41" s="13">
        <f ca="1">SUMIF($L$4:$AL$4,"SUBTOTAL",$L$41:$AL$41)</f>
        <v>946.54582943602099</v>
      </c>
      <c r="AP41" s="13">
        <f>IF((1 - CUSTOS!$M$30)&lt;&gt;0,1/(1 - CUSTOS!$M$30),1)</f>
        <v>1</v>
      </c>
    </row>
    <row r="42" spans="1:42" ht="11.25" customHeight="1" x14ac:dyDescent="0.3">
      <c r="A42" s="95"/>
      <c r="B42" s="95" t="s">
        <v>85</v>
      </c>
      <c r="C42" s="95" t="s">
        <v>44</v>
      </c>
      <c r="D42" s="17" t="s">
        <v>25</v>
      </c>
      <c r="E42" s="17" t="s">
        <v>25</v>
      </c>
      <c r="F42" s="17" t="s">
        <v>25</v>
      </c>
      <c r="G42" s="18" t="s">
        <v>74</v>
      </c>
      <c r="H42" s="18" t="s">
        <v>70</v>
      </c>
      <c r="I42" s="18">
        <f>'MERCADO TUSD'!$U$39</f>
        <v>0</v>
      </c>
      <c r="J42" s="15"/>
      <c r="L42" s="13">
        <f>'TR TUSD'!$L$42*'TR TUSD'!$L$60</f>
        <v>0</v>
      </c>
      <c r="M42" s="13">
        <f>'TR TUSD'!$M$42*'TR TUSD'!$M$60</f>
        <v>2.6337825076414725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92.608412521807793</v>
      </c>
      <c r="R42" s="13">
        <f>'TR TUSD'!$R$42*'TR TUSD'!$R$60</f>
        <v>14.630048180624657</v>
      </c>
      <c r="S42" s="13">
        <f>'TR TUSD'!$S$42*'TR TUSD'!$S$60</f>
        <v>0</v>
      </c>
      <c r="T42" s="13">
        <f ca="1">SUM($L$42:$S$42)</f>
        <v>109.87224321007392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154.64750636200614</v>
      </c>
      <c r="Z42" s="13">
        <f>'TR TUSD'!$Z$42</f>
        <v>0</v>
      </c>
      <c r="AA42" s="13">
        <f>'TR TUSD'!$AA$42</f>
        <v>0</v>
      </c>
      <c r="AB42" s="13">
        <f>SUM($U$42:$AA$42)</f>
        <v>154.64750636200614</v>
      </c>
      <c r="AC42" s="13">
        <f>'TR TUSD'!$AC$42*'TR TUSD'!$AC$60</f>
        <v>651.53228396140344</v>
      </c>
      <c r="AD42" s="13">
        <f>SUM($AC$42:$AC$42)</f>
        <v>651.53228396140344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30.493795902537464</v>
      </c>
      <c r="AI42" s="13">
        <f>'TR TUSD'!$AI$42*'TR TUSD'!$AI$60</f>
        <v>0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30.493795902537464</v>
      </c>
      <c r="AM42" s="13">
        <f ca="1">SUMIF($L$4:$AL$4,"SUBTOTAL",$L$42:$AL$42)</f>
        <v>946.54582943602099</v>
      </c>
      <c r="AP42" s="13">
        <f>IF((1 - CUSTOS!$M$28)&lt;&gt;0,1/(1 - CUSTOS!$M$28),1)</f>
        <v>1</v>
      </c>
    </row>
    <row r="43" spans="1:42" ht="11.25" customHeight="1" x14ac:dyDescent="0.3">
      <c r="A43" s="95"/>
      <c r="B43" s="95"/>
      <c r="C43" s="95"/>
      <c r="D43" s="17" t="s">
        <v>86</v>
      </c>
      <c r="E43" s="17" t="s">
        <v>25</v>
      </c>
      <c r="F43" s="17" t="s">
        <v>25</v>
      </c>
      <c r="G43" s="18" t="s">
        <v>74</v>
      </c>
      <c r="H43" s="18" t="s">
        <v>70</v>
      </c>
      <c r="I43" s="18">
        <f>'MERCADO TUSD'!$U$40</f>
        <v>0</v>
      </c>
      <c r="J43" s="15"/>
      <c r="L43" s="13">
        <f>'TR TUSD'!$L$43*'TR TUSD'!$L$60</f>
        <v>0</v>
      </c>
      <c r="M43" s="13">
        <f>'TR TUSD'!$M$43*'TR TUSD'!$M$60</f>
        <v>2.6337825076414725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92.608412521807793</v>
      </c>
      <c r="R43" s="13">
        <f>'TR TUSD'!$R$43*'TR TUSD'!$R$60</f>
        <v>14.630048180624657</v>
      </c>
      <c r="S43" s="13">
        <f>'TR TUSD'!$S$43*'TR TUSD'!$S$60</f>
        <v>0</v>
      </c>
      <c r="T43" s="13">
        <f ca="1">SUM($L$43:$S$43)</f>
        <v>109.87224321007392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154.64750636200614</v>
      </c>
      <c r="Z43" s="13">
        <f>'TR TUSD'!$Z$43</f>
        <v>0</v>
      </c>
      <c r="AA43" s="13">
        <f>'TR TUSD'!$AA$43</f>
        <v>0</v>
      </c>
      <c r="AB43" s="13">
        <f>SUM($U$43:$AA$43)</f>
        <v>154.64750636200614</v>
      </c>
      <c r="AC43" s="13">
        <f>'TR TUSD'!$AC$43*'TR TUSD'!$AC$60</f>
        <v>651.53228396140344</v>
      </c>
      <c r="AD43" s="13">
        <f>SUM($AC$43:$AC$43)</f>
        <v>651.53228396140344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30.493795902537464</v>
      </c>
      <c r="AI43" s="13">
        <f>'TR TUSD'!$AI$43*'TR TUSD'!$AI$60</f>
        <v>0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30.493795902537464</v>
      </c>
      <c r="AM43" s="13">
        <f ca="1">SUMIF($L$4:$AL$4,"SUBTOTAL",$L$43:$AL$43)</f>
        <v>946.54582943602099</v>
      </c>
      <c r="AP43" s="13">
        <f>IF((1 - CUSTOS!$M$29)&lt;&gt;0,1/(1 - CUSTOS!$M$29),1)</f>
        <v>1</v>
      </c>
    </row>
    <row r="44" spans="1:42" ht="11.25" customHeight="1" x14ac:dyDescent="0.3">
      <c r="A44" s="95"/>
      <c r="B44" s="95"/>
      <c r="C44" s="95"/>
      <c r="D44" s="17" t="s">
        <v>87</v>
      </c>
      <c r="E44" s="17" t="s">
        <v>25</v>
      </c>
      <c r="F44" s="17" t="s">
        <v>25</v>
      </c>
      <c r="G44" s="18" t="s">
        <v>74</v>
      </c>
      <c r="H44" s="18" t="s">
        <v>70</v>
      </c>
      <c r="I44" s="18">
        <f>'MERCADO TUSD'!$U$41</f>
        <v>0</v>
      </c>
      <c r="J44" s="15"/>
      <c r="L44" s="13">
        <f>'TR TUSD'!$L$44*'TR TUSD'!$L$60</f>
        <v>0</v>
      </c>
      <c r="M44" s="13">
        <f>'TR TUSD'!$M$44*'TR TUSD'!$M$60</f>
        <v>2.6337825076414725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92.608412521807793</v>
      </c>
      <c r="R44" s="13">
        <f>'TR TUSD'!$R$44*'TR TUSD'!$R$60</f>
        <v>14.630048180624657</v>
      </c>
      <c r="S44" s="13">
        <f>'TR TUSD'!$S$44*'TR TUSD'!$S$60</f>
        <v>0</v>
      </c>
      <c r="T44" s="13">
        <f ca="1">SUM($L$44:$S$44)</f>
        <v>109.87224321007392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154.64750636200614</v>
      </c>
      <c r="Z44" s="13">
        <f>'TR TUSD'!$Z$44</f>
        <v>0</v>
      </c>
      <c r="AA44" s="13">
        <f>'TR TUSD'!$AA$44</f>
        <v>0</v>
      </c>
      <c r="AB44" s="13">
        <f>SUM($U$44:$AA$44)</f>
        <v>154.64750636200614</v>
      </c>
      <c r="AC44" s="13">
        <f>'TR TUSD'!$AC$44*'TR TUSD'!$AC$60</f>
        <v>651.53228396140344</v>
      </c>
      <c r="AD44" s="13">
        <f>SUM($AC$44:$AC$44)</f>
        <v>651.53228396140344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30.493795902537464</v>
      </c>
      <c r="AI44" s="13">
        <f>'TR TUSD'!$AI$44*'TR TUSD'!$AI$60</f>
        <v>0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30.493795902537464</v>
      </c>
      <c r="AM44" s="13">
        <f ca="1">SUMIF($L$4:$AL$4,"SUBTOTAL",$L$44:$AL$44)</f>
        <v>946.54582943602099</v>
      </c>
      <c r="AP44" s="13">
        <f>IF((1 - CUSTOS!$M$30)&lt;&gt;0,1/(1 - CUSTOS!$M$30),1)</f>
        <v>1</v>
      </c>
    </row>
    <row r="45" spans="1:42" ht="11.25" customHeight="1" x14ac:dyDescent="0.3">
      <c r="A45" s="95" t="s">
        <v>35</v>
      </c>
      <c r="B45" s="95" t="s">
        <v>33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71</v>
      </c>
      <c r="H45" s="18" t="s">
        <v>70</v>
      </c>
      <c r="I45" s="18">
        <f>'MERCADO TUSD'!$U$42</f>
        <v>0.746</v>
      </c>
      <c r="J45" s="15"/>
      <c r="L45" s="13">
        <f>'TR TUSD'!$L$45*'TR TUSD'!$L$60</f>
        <v>0</v>
      </c>
      <c r="M45" s="13">
        <f>'TR TUSD'!$M$45*'TR TUSD'!$M$60</f>
        <v>2.6337825076414725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92.608412521807793</v>
      </c>
      <c r="R45" s="13">
        <f>'TR TUSD'!$R$45*'TR TUSD'!$R$60</f>
        <v>14.630048180624657</v>
      </c>
      <c r="S45" s="13">
        <f>'TR TUSD'!$S$45*'TR TUSD'!$S$60</f>
        <v>0</v>
      </c>
      <c r="T45" s="13">
        <f ca="1">SUM($L$45:$S$45)</f>
        <v>109.87224321007392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533.66766476311921</v>
      </c>
      <c r="Z45" s="13">
        <f>'TR TUSD'!$Z$45</f>
        <v>0</v>
      </c>
      <c r="AA45" s="13">
        <f>'TR TUSD'!$AA$45</f>
        <v>0</v>
      </c>
      <c r="AB45" s="13">
        <f>SUM($U$45:$AA$45)</f>
        <v>533.66766476311921</v>
      </c>
      <c r="AC45" s="13">
        <f>'TR TUSD'!$AC$45*'TR TUSD'!$AC$60</f>
        <v>2247.7853700893384</v>
      </c>
      <c r="AD45" s="13">
        <f>SUM($AC$45:$AC$45)</f>
        <v>2247.7853700893384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30.493795902537464</v>
      </c>
      <c r="AI45" s="13">
        <f>'TR TUSD'!$AI$45*'TR TUSD'!$AI$60</f>
        <v>0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30.493795902537464</v>
      </c>
      <c r="AM45" s="13">
        <f ca="1">SUMIF($L$4:$AL$4,"SUBTOTAL",$L$45:$AL$45)</f>
        <v>2921.819073965069</v>
      </c>
      <c r="AP45" s="13">
        <f>IF((1 - CUSTOS!$M$31)&lt;&gt;0,1/(1 - CUSTOS!$M$31),1)</f>
        <v>1</v>
      </c>
    </row>
    <row r="46" spans="1:42" ht="11.25" customHeight="1" x14ac:dyDescent="0.3">
      <c r="A46" s="95"/>
      <c r="B46" s="95"/>
      <c r="C46" s="95"/>
      <c r="D46" s="95"/>
      <c r="E46" s="95"/>
      <c r="F46" s="95"/>
      <c r="G46" s="18" t="s">
        <v>83</v>
      </c>
      <c r="H46" s="18" t="s">
        <v>70</v>
      </c>
      <c r="I46" s="18">
        <f>'MERCADO TUSD'!$U$43</f>
        <v>0.45699999999999996</v>
      </c>
      <c r="J46" s="15"/>
      <c r="L46" s="13">
        <f>'TR TUSD'!$L$46*'TR TUSD'!$L$60</f>
        <v>0</v>
      </c>
      <c r="M46" s="13">
        <f>'TR TUSD'!$M$46*'TR TUSD'!$M$60</f>
        <v>2.6337825076414725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92.608412521807793</v>
      </c>
      <c r="R46" s="13">
        <f>'TR TUSD'!$R$46*'TR TUSD'!$R$60</f>
        <v>14.630048180624657</v>
      </c>
      <c r="S46" s="13">
        <f>'TR TUSD'!$S$46*'TR TUSD'!$S$60</f>
        <v>0</v>
      </c>
      <c r="T46" s="13">
        <f ca="1">SUM($L$46:$S$46)</f>
        <v>109.87224321007392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320.13953803631091</v>
      </c>
      <c r="Z46" s="13">
        <f>'TR TUSD'!$Z$46</f>
        <v>0</v>
      </c>
      <c r="AA46" s="13">
        <f>'TR TUSD'!$AA$46</f>
        <v>0</v>
      </c>
      <c r="AB46" s="13">
        <f>SUM($U$46:$AA$46)</f>
        <v>320.13953803631091</v>
      </c>
      <c r="AC46" s="13">
        <f>'TR TUSD'!$AC$46*'TR TUSD'!$AC$60</f>
        <v>1348.6710667339871</v>
      </c>
      <c r="AD46" s="13">
        <f>SUM($AC$46:$AC$46)</f>
        <v>1348.6710667339871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30.493795902537464</v>
      </c>
      <c r="AI46" s="13">
        <f>'TR TUSD'!$AI$46*'TR TUSD'!$AI$60</f>
        <v>0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30.493795902537464</v>
      </c>
      <c r="AM46" s="13">
        <f ca="1">SUMIF($L$4:$AL$4,"SUBTOTAL",$L$46:$AL$46)</f>
        <v>1809.1766438829093</v>
      </c>
      <c r="AP46" s="13">
        <f>IF((1 - CUSTOS!$M$31)&lt;&gt;0,1/(1 - CUSTOS!$M$31),1)</f>
        <v>1</v>
      </c>
    </row>
    <row r="47" spans="1:42" ht="11.25" customHeight="1" x14ac:dyDescent="0.3">
      <c r="A47" s="95"/>
      <c r="B47" s="95"/>
      <c r="C47" s="95"/>
      <c r="D47" s="95"/>
      <c r="E47" s="95"/>
      <c r="F47" s="95"/>
      <c r="G47" s="18" t="s">
        <v>72</v>
      </c>
      <c r="H47" s="18" t="s">
        <v>70</v>
      </c>
      <c r="I47" s="18">
        <f>'MERCADO TUSD'!$U$44</f>
        <v>6.4780000000000006</v>
      </c>
      <c r="J47" s="15"/>
      <c r="L47" s="13">
        <f>'TR TUSD'!$L$47*'TR TUSD'!$L$60</f>
        <v>0</v>
      </c>
      <c r="M47" s="13">
        <f>'TR TUSD'!$M$47*'TR TUSD'!$M$60</f>
        <v>2.6337825076414725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92.608412521807793</v>
      </c>
      <c r="R47" s="13">
        <f>'TR TUSD'!$R$47*'TR TUSD'!$R$60</f>
        <v>14.630048180624657</v>
      </c>
      <c r="S47" s="13">
        <f>'TR TUSD'!$S$47*'TR TUSD'!$S$60</f>
        <v>0</v>
      </c>
      <c r="T47" s="13">
        <f ca="1">SUM($L$47:$S$47)</f>
        <v>109.87224321007392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106.68770767223772</v>
      </c>
      <c r="Z47" s="13">
        <f>'TR TUSD'!$Z$47</f>
        <v>0</v>
      </c>
      <c r="AA47" s="13">
        <f>'TR TUSD'!$AA$47</f>
        <v>0</v>
      </c>
      <c r="AB47" s="13">
        <f>SUM($U$47:$AA$47)</f>
        <v>106.68770767223772</v>
      </c>
      <c r="AC47" s="13">
        <f>'TR TUSD'!$AC$47*'TR TUSD'!$AC$60</f>
        <v>449.55753997671536</v>
      </c>
      <c r="AD47" s="13">
        <f>SUM($AC$47:$AC$47)</f>
        <v>449.55753997671536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30.493795902537464</v>
      </c>
      <c r="AI47" s="13">
        <f>'TR TUSD'!$AI$47*'TR TUSD'!$AI$60</f>
        <v>0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30.493795902537464</v>
      </c>
      <c r="AM47" s="13">
        <f ca="1">SUMIF($L$4:$AL$4,"SUBTOTAL",$L$47:$AL$47)</f>
        <v>696.61128676156443</v>
      </c>
      <c r="AP47" s="13">
        <f>IF((1 - CUSTOS!$M$31)&lt;&gt;0,1/(1 - CUSTOS!$M$31),1)</f>
        <v>1</v>
      </c>
    </row>
    <row r="48" spans="1:42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74</v>
      </c>
      <c r="H48" s="18" t="s">
        <v>70</v>
      </c>
      <c r="I48" s="18">
        <f>'MERCADO TUSD'!$U$45</f>
        <v>2717.4190000000003</v>
      </c>
      <c r="J48" s="15"/>
      <c r="L48" s="13">
        <f>'TR TUSD'!$L$48*'TR TUSD'!$L$60</f>
        <v>0</v>
      </c>
      <c r="M48" s="13">
        <f>'TR TUSD'!$M$48*'TR TUSD'!$M$60</f>
        <v>2.6337825076414725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92.608412521807793</v>
      </c>
      <c r="R48" s="13">
        <f>'TR TUSD'!$R$48*'TR TUSD'!$R$60</f>
        <v>14.630048180624657</v>
      </c>
      <c r="S48" s="13">
        <f>'TR TUSD'!$S$48*'TR TUSD'!$S$60</f>
        <v>0</v>
      </c>
      <c r="T48" s="13">
        <f ca="1">SUM($L$48:$S$48)</f>
        <v>109.87224321007392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154.64750636200614</v>
      </c>
      <c r="Z48" s="13">
        <f>'TR TUSD'!$Z$48</f>
        <v>0</v>
      </c>
      <c r="AA48" s="13">
        <f>'TR TUSD'!$AA$48</f>
        <v>0</v>
      </c>
      <c r="AB48" s="13">
        <f>SUM($U$48:$AA$48)</f>
        <v>154.64750636200614</v>
      </c>
      <c r="AC48" s="13">
        <f>'TR TUSD'!$AC$48*'TR TUSD'!$AC$60</f>
        <v>651.53228396140344</v>
      </c>
      <c r="AD48" s="13">
        <f>SUM($AC$48:$AC$48)</f>
        <v>651.53228396140344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30.493795902537464</v>
      </c>
      <c r="AI48" s="13">
        <f>'TR TUSD'!$AI$48*'TR TUSD'!$AI$60</f>
        <v>0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30.493795902537464</v>
      </c>
      <c r="AM48" s="13">
        <f ca="1">SUMIF($L$4:$AL$4,"SUBTOTAL",$L$48:$AL$48)</f>
        <v>946.54582943602099</v>
      </c>
      <c r="AP48" s="13">
        <f>IF((1 - CUSTOS!$M$31)&lt;&gt;0,1/(1 - CUSTOS!$M$31),1)</f>
        <v>1</v>
      </c>
    </row>
    <row r="49" spans="1:42" ht="11.25" customHeight="1" x14ac:dyDescent="0.3">
      <c r="A49" s="95"/>
      <c r="B49" s="17" t="s">
        <v>85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74</v>
      </c>
      <c r="H49" s="18" t="s">
        <v>70</v>
      </c>
      <c r="I49" s="18">
        <f>'MERCADO TUSD'!$U$46</f>
        <v>0</v>
      </c>
      <c r="J49" s="15"/>
      <c r="L49" s="13">
        <f>'TR TUSD'!$L$49*'TR TUSD'!$L$60</f>
        <v>0</v>
      </c>
      <c r="M49" s="13">
        <f>'TR TUSD'!$M$49*'TR TUSD'!$M$60</f>
        <v>2.6337825076414725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92.608412521807793</v>
      </c>
      <c r="R49" s="13">
        <f>'TR TUSD'!$R$49*'TR TUSD'!$R$60</f>
        <v>14.630048180624657</v>
      </c>
      <c r="S49" s="13">
        <f>'TR TUSD'!$S$49*'TR TUSD'!$S$60</f>
        <v>0</v>
      </c>
      <c r="T49" s="13">
        <f ca="1">SUM($L$49:$S$49)</f>
        <v>109.87224321007392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154.64750636200614</v>
      </c>
      <c r="Z49" s="13">
        <f>'TR TUSD'!$Z$49</f>
        <v>0</v>
      </c>
      <c r="AA49" s="13">
        <f>'TR TUSD'!$AA$49</f>
        <v>0</v>
      </c>
      <c r="AB49" s="13">
        <f>SUM($U$49:$AA$49)</f>
        <v>154.64750636200614</v>
      </c>
      <c r="AC49" s="13">
        <f>'TR TUSD'!$AC$49*'TR TUSD'!$AC$60</f>
        <v>651.53228396140344</v>
      </c>
      <c r="AD49" s="13">
        <f>SUM($AC$49:$AC$49)</f>
        <v>651.53228396140344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30.493795902537464</v>
      </c>
      <c r="AI49" s="13">
        <f>'TR TUSD'!$AI$49*'TR TUSD'!$AI$60</f>
        <v>0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30.493795902537464</v>
      </c>
      <c r="AM49" s="13">
        <f ca="1">SUMIF($L$4:$AL$4,"SUBTOTAL",$L$49:$AL$49)</f>
        <v>946.54582943602099</v>
      </c>
      <c r="AP49" s="13">
        <f>IF((1 - CUSTOS!$M$31)&lt;&gt;0,1/(1 - CUSTOS!$M$31),1)</f>
        <v>1</v>
      </c>
    </row>
    <row r="50" spans="1:42" ht="11.25" customHeight="1" x14ac:dyDescent="0.3">
      <c r="A50" s="95" t="s">
        <v>46</v>
      </c>
      <c r="B50" s="95" t="s">
        <v>23</v>
      </c>
      <c r="C50" s="95" t="s">
        <v>47</v>
      </c>
      <c r="D50" s="17" t="s">
        <v>48</v>
      </c>
      <c r="E50" s="17" t="s">
        <v>25</v>
      </c>
      <c r="F50" s="17" t="s">
        <v>25</v>
      </c>
      <c r="G50" s="18" t="s">
        <v>74</v>
      </c>
      <c r="H50" s="18" t="s">
        <v>70</v>
      </c>
      <c r="I50" s="18">
        <f>'MERCADO TUSD'!$U$47</f>
        <v>2495.3550000000005</v>
      </c>
      <c r="J50" s="15"/>
      <c r="L50" s="13">
        <f>'TR TUSD'!$L$50*'TR TUSD'!$L$60</f>
        <v>0</v>
      </c>
      <c r="M50" s="13">
        <f>'TR TUSD'!$M$50*'TR TUSD'!$M$60</f>
        <v>1.4485803792028098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50.934626886994288</v>
      </c>
      <c r="R50" s="13">
        <f>'TR TUSD'!$R$50*'TR TUSD'!$R$60</f>
        <v>8.0465264993435621</v>
      </c>
      <c r="S50" s="13">
        <f>'TR TUSD'!$S$50*'TR TUSD'!$S$60</f>
        <v>0</v>
      </c>
      <c r="T50" s="13">
        <f ca="1">SUM($L$50:$S$50)</f>
        <v>60.429733765540661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85.05612849910338</v>
      </c>
      <c r="Z50" s="13">
        <f>'TR TUSD'!$Z$50</f>
        <v>0</v>
      </c>
      <c r="AA50" s="13">
        <f>'TR TUSD'!$AA$50</f>
        <v>0</v>
      </c>
      <c r="AB50" s="13">
        <f>SUM($U$50:$AA$50)</f>
        <v>85.05612849910338</v>
      </c>
      <c r="AC50" s="13">
        <f>'TR TUSD'!$AC$50*'TR TUSD'!$AC$60</f>
        <v>358.34275617877194</v>
      </c>
      <c r="AD50" s="13">
        <f>SUM($AC$50:$AC$50)</f>
        <v>358.34275617877194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16.771587746395607</v>
      </c>
      <c r="AI50" s="13">
        <f>'TR TUSD'!$AI$50*'TR TUSD'!$AI$60</f>
        <v>0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16.771587746395607</v>
      </c>
      <c r="AM50" s="13">
        <f ca="1">SUMIF($L$4:$AL$4,"SUBTOTAL",$L$50:$AL$50)</f>
        <v>520.60020618981162</v>
      </c>
      <c r="AP50" s="13">
        <f>IF((1 - CUSTOS!$M$32)&lt;&gt;0,1/(1 - CUSTOS!$M$32),1)</f>
        <v>1.8181818181818181</v>
      </c>
    </row>
    <row r="51" spans="1:42" ht="11.25" customHeight="1" x14ac:dyDescent="0.3">
      <c r="A51" s="95"/>
      <c r="B51" s="95"/>
      <c r="C51" s="95"/>
      <c r="D51" s="18" t="s">
        <v>49</v>
      </c>
      <c r="E51" s="18" t="s">
        <v>25</v>
      </c>
      <c r="F51" s="18" t="s">
        <v>25</v>
      </c>
      <c r="G51" s="18" t="s">
        <v>74</v>
      </c>
      <c r="H51" s="18" t="s">
        <v>70</v>
      </c>
      <c r="I51" s="18">
        <f>'MERCADO TUSD'!$U$48</f>
        <v>1567.3130000000001</v>
      </c>
      <c r="J51" s="15"/>
      <c r="L51" s="13">
        <f>'TR TUSD'!$L$51*'TR TUSD'!$L$60</f>
        <v>0</v>
      </c>
      <c r="M51" s="13">
        <f>'TR TUSD'!$M$51*'TR TUSD'!$M$60</f>
        <v>1.5802695045848834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55.565047513084671</v>
      </c>
      <c r="R51" s="13">
        <f>'TR TUSD'!$R$51*'TR TUSD'!$R$60</f>
        <v>8.7780289083747931</v>
      </c>
      <c r="S51" s="13">
        <f>'TR TUSD'!$S$51*'TR TUSD'!$S$60</f>
        <v>0</v>
      </c>
      <c r="T51" s="13">
        <f ca="1">SUM($L$51:$S$51)</f>
        <v>65.923345926044348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92.788503817203676</v>
      </c>
      <c r="Z51" s="13">
        <f>'TR TUSD'!$Z$51</f>
        <v>0</v>
      </c>
      <c r="AA51" s="13">
        <f>'TR TUSD'!$AA$51</f>
        <v>0</v>
      </c>
      <c r="AB51" s="13">
        <f>SUM($U$51:$AA$51)</f>
        <v>92.788503817203676</v>
      </c>
      <c r="AC51" s="13">
        <f>'TR TUSD'!$AC$51*'TR TUSD'!$AC$60</f>
        <v>390.91937037684204</v>
      </c>
      <c r="AD51" s="13">
        <f>SUM($AC$51:$AC$51)</f>
        <v>390.91937037684204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18.296277541522478</v>
      </c>
      <c r="AI51" s="13">
        <f>'TR TUSD'!$AI$51*'TR TUSD'!$AI$60</f>
        <v>0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18.296277541522478</v>
      </c>
      <c r="AM51" s="13">
        <f ca="1">SUMIF($L$4:$AL$4,"SUBTOTAL",$L$51:$AL$51)</f>
        <v>567.92749766161262</v>
      </c>
      <c r="AP51" s="13">
        <f>IF((1 - CUSTOS!$M$33)&lt;&gt;0,1/(1 - CUSTOS!$M$33),1)</f>
        <v>1.6666666666666667</v>
      </c>
    </row>
    <row r="53" spans="1:42" ht="11.25" customHeight="1" x14ac:dyDescent="0.3">
      <c r="K53" s="16" t="s">
        <v>609</v>
      </c>
      <c r="L53" s="13">
        <f>SUMPRODUCT($I$5:$I51,$L$5:$L51)</f>
        <v>0</v>
      </c>
      <c r="M53" s="13">
        <f>SUMPRODUCT($I$5:$I51,$M$5:$M51)</f>
        <v>118146.05586998828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4445152.1190699982</v>
      </c>
      <c r="R53" s="13">
        <f>SUMPRODUCT($I$5:$I51,$R$5:$R51)</f>
        <v>723391.08677999955</v>
      </c>
      <c r="S53" s="13">
        <f>SUMPRODUCT($I$5:$I51,$S$5:$S51)</f>
        <v>0</v>
      </c>
      <c r="T53" s="13">
        <f ca="1">SUMPRODUCT($I$5:$I51,$T$5:$T51)</f>
        <v>5286689.2617199868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7250869.5566400029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7250869.5566400029</v>
      </c>
      <c r="AC53" s="13">
        <f>SUMPRODUCT($I$5:$I51,$AC$5:$AC51)</f>
        <v>29224737.749999996</v>
      </c>
      <c r="AD53" s="13">
        <f>SUMPRODUCT($I$5:$I51,$AD$5:$AD51)</f>
        <v>29224737.749999996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1353959.4251748875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1353959.4251748875</v>
      </c>
      <c r="AM53" s="13">
        <f ca="1">SUMPRODUCT($I$5:$I51,$AM$5:$AM51)</f>
        <v>43116255.993534878</v>
      </c>
    </row>
    <row r="54" spans="1:42" ht="11.25" customHeight="1" x14ac:dyDescent="0.3">
      <c r="K54" s="16" t="s">
        <v>541</v>
      </c>
      <c r="L54" s="13">
        <f>'TR TUSD'!$L$56</f>
        <v>0</v>
      </c>
      <c r="M54" s="13">
        <f>'TR TUSD'!$M$56</f>
        <v>118146.05586998828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4445152.1190699972</v>
      </c>
      <c r="R54" s="13">
        <f>'TR TUSD'!$R$56</f>
        <v>723391.08677999966</v>
      </c>
      <c r="S54" s="13">
        <f>'TR TUSD'!$S$56</f>
        <v>0</v>
      </c>
      <c r="T54" s="13">
        <f>'TR TUSD'!$T$56</f>
        <v>5286689.2617199849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7250869.556640001</v>
      </c>
      <c r="Z54" s="13">
        <f>'TR TUSD'!$Z$56</f>
        <v>0</v>
      </c>
      <c r="AA54" s="13">
        <f>'TR TUSD'!$AA$56</f>
        <v>0</v>
      </c>
      <c r="AB54" s="13">
        <f>'TR TUSD'!$AB$56</f>
        <v>7250869.556640001</v>
      </c>
      <c r="AC54" s="13">
        <f>'TR TUSD'!$AC$56</f>
        <v>29224737.75</v>
      </c>
      <c r="AD54" s="13">
        <f>'TR TUSD'!$AD$56</f>
        <v>29224737.75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1353959.4251748875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1353959.4251748875</v>
      </c>
      <c r="AM54" s="13">
        <f>CUSTOS!$D$29</f>
        <v>43116255.99353487</v>
      </c>
    </row>
    <row r="55" spans="1:42" ht="11.25" customHeight="1" x14ac:dyDescent="0.3">
      <c r="K55" s="16" t="s">
        <v>542</v>
      </c>
      <c r="L55" s="13">
        <f>CUSTOS!$E$2</f>
        <v>0</v>
      </c>
      <c r="M55" s="13">
        <f>CUSTOS!$E$3</f>
        <v>-1345.2444493490764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-38909.608864024849</v>
      </c>
      <c r="R55" s="13">
        <f>CUSTOS!$E$8</f>
        <v>-6436.7217552921993</v>
      </c>
      <c r="S55" s="13">
        <f>CUSTOS!$E$9</f>
        <v>0</v>
      </c>
      <c r="T55" s="13">
        <f>CUSTOS!$E$10</f>
        <v>-46691.575068666127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-1289202.8707747674</v>
      </c>
      <c r="Z55" s="13">
        <f>CUSTOS!$E$16</f>
        <v>0</v>
      </c>
      <c r="AA55" s="13">
        <f>CUSTOS!$E$17</f>
        <v>0</v>
      </c>
      <c r="AB55" s="13">
        <f>CUSTOS!$E$18</f>
        <v>-1289202.8707747674</v>
      </c>
      <c r="AC55" s="13">
        <f>CUSTOS!$E$19</f>
        <v>-17867394.383257363</v>
      </c>
      <c r="AD55" s="13">
        <f>CUSTOS!$E$20</f>
        <v>-17867394.383257363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-21537.922799824173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-21537.922799824173</v>
      </c>
      <c r="AM55" s="13">
        <f>CUSTOS!$E$29</f>
        <v>-19224826.751900621</v>
      </c>
    </row>
    <row r="56" spans="1:42" ht="11.25" customHeight="1" x14ac:dyDescent="0.3">
      <c r="K56" s="16" t="s">
        <v>543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606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3">
      <c r="K58" s="16" t="s">
        <v>610</v>
      </c>
      <c r="L58" s="13">
        <f t="shared" ref="L58:R58" si="0">IF((L53-(0))&lt;&gt;0,(L55)/(L53-(0)),0)</f>
        <v>0</v>
      </c>
      <c r="M58" s="13">
        <f t="shared" si="0"/>
        <v>-1.1386283185190936E-2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-8.7532682395952306E-3</v>
      </c>
      <c r="R58" s="13">
        <f t="shared" si="0"/>
        <v>-8.8979832250127792E-3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-0.17779976052584981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-0.6113791177906247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-1.5907362066660286E-2</v>
      </c>
      <c r="AI58" s="13">
        <f>IF((AI53-(0))&lt;&gt;0,(AI55)/(AI53-(0)),0)</f>
        <v>0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26" priority="55" operator="notEqual">
      <formula>$L$54-$L$57</formula>
    </cfRule>
    <cfRule type="cellIs" dxfId="825" priority="56" operator="equal">
      <formula>$L$54-$L$57</formula>
    </cfRule>
  </conditionalFormatting>
  <conditionalFormatting sqref="M53">
    <cfRule type="cellIs" dxfId="824" priority="53" operator="notEqual">
      <formula>$M$54-$M$57</formula>
    </cfRule>
    <cfRule type="cellIs" dxfId="823" priority="54" operator="equal">
      <formula>$M$54-$M$57</formula>
    </cfRule>
  </conditionalFormatting>
  <conditionalFormatting sqref="N53">
    <cfRule type="cellIs" dxfId="822" priority="51" operator="notEqual">
      <formula>$N$54-$N$57</formula>
    </cfRule>
    <cfRule type="cellIs" dxfId="821" priority="52" operator="equal">
      <formula>$N$54-$N$57</formula>
    </cfRule>
  </conditionalFormatting>
  <conditionalFormatting sqref="O53">
    <cfRule type="cellIs" dxfId="820" priority="49" operator="notEqual">
      <formula>$O$54-$O$57</formula>
    </cfRule>
    <cfRule type="cellIs" dxfId="819" priority="50" operator="equal">
      <formula>$O$54-$O$57</formula>
    </cfRule>
  </conditionalFormatting>
  <conditionalFormatting sqref="P53">
    <cfRule type="cellIs" dxfId="818" priority="47" operator="notEqual">
      <formula>$P$54-$P$57</formula>
    </cfRule>
    <cfRule type="cellIs" dxfId="817" priority="48" operator="equal">
      <formula>$P$54-$P$57</formula>
    </cfRule>
  </conditionalFormatting>
  <conditionalFormatting sqref="Q53">
    <cfRule type="cellIs" dxfId="816" priority="45" operator="notEqual">
      <formula>$Q$54-$Q$57</formula>
    </cfRule>
    <cfRule type="cellIs" dxfId="815" priority="46" operator="equal">
      <formula>$Q$54-$Q$57</formula>
    </cfRule>
  </conditionalFormatting>
  <conditionalFormatting sqref="R53">
    <cfRule type="cellIs" dxfId="814" priority="43" operator="notEqual">
      <formula>$R$54-$R$57</formula>
    </cfRule>
    <cfRule type="cellIs" dxfId="813" priority="44" operator="equal">
      <formula>$R$54-$R$57</formula>
    </cfRule>
  </conditionalFormatting>
  <conditionalFormatting sqref="S53">
    <cfRule type="cellIs" dxfId="812" priority="41" operator="notEqual">
      <formula>$S$54-$S$57</formula>
    </cfRule>
    <cfRule type="cellIs" dxfId="811" priority="42" operator="equal">
      <formula>$S$54-$S$57</formula>
    </cfRule>
  </conditionalFormatting>
  <conditionalFormatting sqref="T53">
    <cfRule type="cellIs" dxfId="810" priority="39" operator="notEqual">
      <formula>$T$54-$T$57</formula>
    </cfRule>
    <cfRule type="cellIs" dxfId="809" priority="40" operator="equal">
      <formula>$T$54-$T$57</formula>
    </cfRule>
  </conditionalFormatting>
  <conditionalFormatting sqref="U53">
    <cfRule type="cellIs" dxfId="808" priority="37" operator="notEqual">
      <formula>$U$54-$U$57</formula>
    </cfRule>
    <cfRule type="cellIs" dxfId="807" priority="38" operator="equal">
      <formula>$U$54-$U$57</formula>
    </cfRule>
  </conditionalFormatting>
  <conditionalFormatting sqref="V53">
    <cfRule type="cellIs" dxfId="806" priority="35" operator="notEqual">
      <formula>$V$54-$V$57</formula>
    </cfRule>
    <cfRule type="cellIs" dxfId="805" priority="36" operator="equal">
      <formula>$V$54-$V$57</formula>
    </cfRule>
  </conditionalFormatting>
  <conditionalFormatting sqref="W53">
    <cfRule type="cellIs" dxfId="804" priority="33" operator="notEqual">
      <formula>$W$54-$W$57</formula>
    </cfRule>
    <cfRule type="cellIs" dxfId="803" priority="34" operator="equal">
      <formula>$W$54-$W$57</formula>
    </cfRule>
  </conditionalFormatting>
  <conditionalFormatting sqref="X53">
    <cfRule type="cellIs" dxfId="802" priority="31" operator="notEqual">
      <formula>$X$54-$X$57</formula>
    </cfRule>
    <cfRule type="cellIs" dxfId="801" priority="32" operator="equal">
      <formula>$X$54-$X$57</formula>
    </cfRule>
  </conditionalFormatting>
  <conditionalFormatting sqref="Y53">
    <cfRule type="cellIs" dxfId="800" priority="29" operator="notEqual">
      <formula>$Y$54-$Y$57</formula>
    </cfRule>
    <cfRule type="cellIs" dxfId="799" priority="30" operator="equal">
      <formula>$Y$54-$Y$57</formula>
    </cfRule>
  </conditionalFormatting>
  <conditionalFormatting sqref="Z53">
    <cfRule type="cellIs" dxfId="798" priority="27" operator="notEqual">
      <formula>$Z$54-$Z$57</formula>
    </cfRule>
    <cfRule type="cellIs" dxfId="797" priority="28" operator="equal">
      <formula>$Z$54-$Z$57</formula>
    </cfRule>
  </conditionalFormatting>
  <conditionalFormatting sqref="AA53">
    <cfRule type="cellIs" dxfId="796" priority="25" operator="notEqual">
      <formula>$AA$54-$AA$57</formula>
    </cfRule>
    <cfRule type="cellIs" dxfId="795" priority="26" operator="equal">
      <formula>$AA$54-$AA$57</formula>
    </cfRule>
  </conditionalFormatting>
  <conditionalFormatting sqref="AB53">
    <cfRule type="cellIs" dxfId="794" priority="23" operator="notEqual">
      <formula>$AB$54-$AB$57</formula>
    </cfRule>
    <cfRule type="cellIs" dxfId="793" priority="24" operator="equal">
      <formula>$AB$54-$AB$57</formula>
    </cfRule>
  </conditionalFormatting>
  <conditionalFormatting sqref="AC53">
    <cfRule type="cellIs" dxfId="792" priority="21" operator="notEqual">
      <formula>$AC$54-$AC$57</formula>
    </cfRule>
    <cfRule type="cellIs" dxfId="791" priority="22" operator="equal">
      <formula>$AC$54-$AC$57</formula>
    </cfRule>
  </conditionalFormatting>
  <conditionalFormatting sqref="AD53">
    <cfRule type="cellIs" dxfId="790" priority="19" operator="notEqual">
      <formula>$AD$54-$AD$57</formula>
    </cfRule>
    <cfRule type="cellIs" dxfId="789" priority="20" operator="equal">
      <formula>$AD$54-$AD$57</formula>
    </cfRule>
  </conditionalFormatting>
  <conditionalFormatting sqref="AE53">
    <cfRule type="cellIs" dxfId="788" priority="17" operator="notEqual">
      <formula>$AE$54-$AE$57</formula>
    </cfRule>
    <cfRule type="cellIs" dxfId="787" priority="18" operator="equal">
      <formula>$AE$54-$AE$57</formula>
    </cfRule>
  </conditionalFormatting>
  <conditionalFormatting sqref="AF53">
    <cfRule type="cellIs" dxfId="786" priority="16" operator="equal">
      <formula>$AF$54-$AF$57</formula>
    </cfRule>
  </conditionalFormatting>
  <conditionalFormatting sqref="AF53">
    <cfRule type="cellIs" dxfId="785" priority="15" operator="notEqual">
      <formula>$AF$54-$AF$57</formula>
    </cfRule>
  </conditionalFormatting>
  <conditionalFormatting sqref="AG53">
    <cfRule type="cellIs" dxfId="784" priority="14" operator="equal">
      <formula>$AG$54-$AG$57</formula>
    </cfRule>
  </conditionalFormatting>
  <conditionalFormatting sqref="AG53">
    <cfRule type="cellIs" dxfId="783" priority="13" operator="notEqual">
      <formula>$AG$54-$AG$57</formula>
    </cfRule>
  </conditionalFormatting>
  <conditionalFormatting sqref="AH53">
    <cfRule type="cellIs" dxfId="782" priority="12" operator="equal">
      <formula>$AH$54-$AH$57</formula>
    </cfRule>
  </conditionalFormatting>
  <conditionalFormatting sqref="AH53">
    <cfRule type="cellIs" dxfId="781" priority="11" operator="notEqual">
      <formula>$AH$54-$AH$57</formula>
    </cfRule>
  </conditionalFormatting>
  <conditionalFormatting sqref="AI53">
    <cfRule type="cellIs" dxfId="780" priority="10" operator="equal">
      <formula>$AI$54-$AI$57</formula>
    </cfRule>
  </conditionalFormatting>
  <conditionalFormatting sqref="AI53">
    <cfRule type="cellIs" dxfId="779" priority="9" operator="notEqual">
      <formula>$AI$54-$AI$57</formula>
    </cfRule>
  </conditionalFormatting>
  <conditionalFormatting sqref="AJ53">
    <cfRule type="cellIs" dxfId="778" priority="8" operator="equal">
      <formula>$AJ$54-$AJ$57</formula>
    </cfRule>
  </conditionalFormatting>
  <conditionalFormatting sqref="AJ53">
    <cfRule type="cellIs" dxfId="777" priority="7" operator="notEqual">
      <formula>$AJ$54-$AJ$57</formula>
    </cfRule>
  </conditionalFormatting>
  <conditionalFormatting sqref="AK53">
    <cfRule type="cellIs" dxfId="776" priority="6" operator="equal">
      <formula>$AK$54-$AK$57</formula>
    </cfRule>
  </conditionalFormatting>
  <conditionalFormatting sqref="AK53">
    <cfRule type="cellIs" dxfId="775" priority="5" operator="notEqual">
      <formula>$AK$54-$AK$57</formula>
    </cfRule>
  </conditionalFormatting>
  <conditionalFormatting sqref="AL53">
    <cfRule type="cellIs" dxfId="774" priority="4" operator="equal">
      <formula>$AL$54-$AL$57</formula>
    </cfRule>
  </conditionalFormatting>
  <conditionalFormatting sqref="AL53">
    <cfRule type="cellIs" dxfId="773" priority="3" operator="notEqual">
      <formula>$AL$54-$AL$57</formula>
    </cfRule>
  </conditionalFormatting>
  <conditionalFormatting sqref="AM53">
    <cfRule type="cellIs" dxfId="772" priority="2" operator="equal">
      <formula>$AM$54-$AM$57</formula>
    </cfRule>
  </conditionalFormatting>
  <conditionalFormatting sqref="AM53">
    <cfRule type="cellIs" dxfId="771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A30A-FE6E-47D9-8AA3-467D5B8138E6}">
  <dimension ref="A1:AP58"/>
  <sheetViews>
    <sheetView showGridLines="0" topLeftCell="AI41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886718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10.3320312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10.3320312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91" t="s">
        <v>60</v>
      </c>
      <c r="B1" s="91" t="s">
        <v>61</v>
      </c>
      <c r="C1" s="91" t="s">
        <v>62</v>
      </c>
      <c r="D1" s="91" t="s">
        <v>63</v>
      </c>
      <c r="E1" s="91" t="s">
        <v>64</v>
      </c>
      <c r="F1" s="91" t="s">
        <v>15</v>
      </c>
      <c r="G1" s="91" t="s">
        <v>66</v>
      </c>
      <c r="H1" s="91" t="s">
        <v>67</v>
      </c>
      <c r="I1" s="91" t="s">
        <v>600</v>
      </c>
      <c r="J1" s="84"/>
      <c r="L1" s="92" t="s">
        <v>617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0"/>
      <c r="AP1" s="96" t="s">
        <v>602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499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0"/>
      <c r="AP2" s="97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500</v>
      </c>
      <c r="M3" s="92"/>
      <c r="N3" s="92"/>
      <c r="O3" s="92"/>
      <c r="P3" s="92"/>
      <c r="Q3" s="92"/>
      <c r="R3" s="92"/>
      <c r="S3" s="92"/>
      <c r="T3" s="92"/>
      <c r="U3" s="92" t="s">
        <v>509</v>
      </c>
      <c r="V3" s="92"/>
      <c r="W3" s="92"/>
      <c r="X3" s="92"/>
      <c r="Y3" s="92"/>
      <c r="Z3" s="92"/>
      <c r="AA3" s="92"/>
      <c r="AB3" s="92"/>
      <c r="AC3" s="92" t="s">
        <v>517</v>
      </c>
      <c r="AD3" s="92"/>
      <c r="AE3" s="92" t="s">
        <v>519</v>
      </c>
      <c r="AF3" s="92"/>
      <c r="AG3" s="92"/>
      <c r="AH3" s="92" t="s">
        <v>522</v>
      </c>
      <c r="AI3" s="92"/>
      <c r="AJ3" s="92"/>
      <c r="AK3" s="92"/>
      <c r="AL3" s="92"/>
      <c r="AM3" s="92" t="s">
        <v>508</v>
      </c>
      <c r="AO3" s="20"/>
      <c r="AP3" s="97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585</v>
      </c>
      <c r="M4" s="10" t="s">
        <v>501</v>
      </c>
      <c r="N4" s="10" t="s">
        <v>502</v>
      </c>
      <c r="O4" s="10" t="s">
        <v>503</v>
      </c>
      <c r="P4" s="10" t="s">
        <v>504</v>
      </c>
      <c r="Q4" s="10" t="s">
        <v>505</v>
      </c>
      <c r="R4" s="10" t="s">
        <v>506</v>
      </c>
      <c r="S4" s="10" t="s">
        <v>507</v>
      </c>
      <c r="T4" s="10" t="s">
        <v>508</v>
      </c>
      <c r="U4" s="10" t="s">
        <v>510</v>
      </c>
      <c r="V4" s="10" t="s">
        <v>511</v>
      </c>
      <c r="W4" s="10" t="s">
        <v>512</v>
      </c>
      <c r="X4" s="10" t="s">
        <v>513</v>
      </c>
      <c r="Y4" s="10" t="s">
        <v>514</v>
      </c>
      <c r="Z4" s="10" t="s">
        <v>515</v>
      </c>
      <c r="AA4" s="10" t="s">
        <v>516</v>
      </c>
      <c r="AB4" s="10" t="s">
        <v>508</v>
      </c>
      <c r="AC4" s="10" t="s">
        <v>518</v>
      </c>
      <c r="AD4" s="10" t="s">
        <v>508</v>
      </c>
      <c r="AE4" s="10" t="s">
        <v>520</v>
      </c>
      <c r="AF4" s="10" t="s">
        <v>521</v>
      </c>
      <c r="AG4" s="10" t="s">
        <v>508</v>
      </c>
      <c r="AH4" s="10" t="s">
        <v>523</v>
      </c>
      <c r="AI4" s="10" t="s">
        <v>524</v>
      </c>
      <c r="AJ4" s="10" t="s">
        <v>525</v>
      </c>
      <c r="AK4" s="10" t="s">
        <v>526</v>
      </c>
      <c r="AL4" s="10" t="s">
        <v>508</v>
      </c>
      <c r="AM4" s="94"/>
      <c r="AO4" s="21" t="s">
        <v>619</v>
      </c>
      <c r="AP4" s="98"/>
    </row>
    <row r="5" spans="1:42" ht="11.25" customHeight="1" x14ac:dyDescent="0.3">
      <c r="A5" s="95" t="s">
        <v>37</v>
      </c>
      <c r="B5" s="95" t="s">
        <v>41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76</v>
      </c>
      <c r="H5" s="18" t="s">
        <v>75</v>
      </c>
      <c r="I5" s="18">
        <f>'MERCADO TUSD'!$U$2</f>
        <v>6523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-8.432198008098668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-8.432198008098668</v>
      </c>
      <c r="AC5" s="13">
        <f>'TUSD BE'!$AC$5*'TUSD BE'!$AC$58</f>
        <v>-95.711653325148319</v>
      </c>
      <c r="AD5" s="13">
        <f>SUM($AC$5:$AC$5)</f>
        <v>-95.711653325148319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-104.14385133324699</v>
      </c>
      <c r="AO5" s="20">
        <f ca="1">+'TUSD BE'!$T$5+'TUSD BE'!$AB$5+'TUSD BE'!$AD$5+'TUSD BE'!$AL$5</f>
        <v>203.97566241759174</v>
      </c>
      <c r="AP5" s="20">
        <f ca="1">+'TUSD BE'!$T$5+'TUSD BE'!$AB$5+'TUSD BE'!$AD$5+'TUSD BE'!$AL$5</f>
        <v>203.97566241759174</v>
      </c>
    </row>
    <row r="6" spans="1:42" ht="11.25" customHeight="1" x14ac:dyDescent="0.3">
      <c r="A6" s="95"/>
      <c r="B6" s="95"/>
      <c r="C6" s="95"/>
      <c r="D6" s="95"/>
      <c r="E6" s="95"/>
      <c r="F6" s="95"/>
      <c r="G6" s="18" t="s">
        <v>77</v>
      </c>
      <c r="H6" s="18" t="s">
        <v>75</v>
      </c>
      <c r="I6" s="18">
        <f>'MERCADO TUSD'!$U$3</f>
        <v>6575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-3.4081831937588576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-3.4081831937588576</v>
      </c>
      <c r="AC6" s="13">
        <f>'TUSD BE'!$AC$6*'TUSD BE'!$AC$58</f>
        <v>-26.745046671362267</v>
      </c>
      <c r="AD6" s="13">
        <f>SUM($AC$6:$AC$6)</f>
        <v>-26.745046671362267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-30.153229865121126</v>
      </c>
      <c r="AO6" s="20">
        <f ca="1">+'TUSD BE'!$T$6+'TUSD BE'!$AB$6+'TUSD BE'!$AD$6+'TUSD BE'!$AL$6</f>
        <v>62.914097188536346</v>
      </c>
      <c r="AP6" s="20">
        <f ca="1">+'TUSD BE'!$T$6+'TUSD BE'!$AB$6+'TUSD BE'!$AD$6+'TUSD BE'!$AL$6</f>
        <v>62.914097188536346</v>
      </c>
    </row>
    <row r="7" spans="1:42" ht="11.25" customHeight="1" x14ac:dyDescent="0.3">
      <c r="A7" s="95"/>
      <c r="B7" s="95"/>
      <c r="C7" s="95"/>
      <c r="D7" s="95"/>
      <c r="E7" s="95"/>
      <c r="F7" s="95"/>
      <c r="G7" s="18" t="s">
        <v>74</v>
      </c>
      <c r="H7" s="18" t="s">
        <v>70</v>
      </c>
      <c r="I7" s="18">
        <f>'MERCADO TUSD'!$U$4</f>
        <v>4102.5690000000004</v>
      </c>
      <c r="J7" s="15"/>
      <c r="L7" s="13">
        <f>'TUSD BE'!$L$7*'TUSD BE'!$L$58</f>
        <v>0</v>
      </c>
      <c r="M7" s="13">
        <f>'TUSD BE'!$M$7*'TUSD BE'!$M$58</f>
        <v>-1.3094161477059784E-2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-0.68092607187903764</v>
      </c>
      <c r="R7" s="13">
        <f>'TUSD BE'!$R$7*'TUSD BE'!$R$58</f>
        <v>-0.13017792329232694</v>
      </c>
      <c r="S7" s="13">
        <f>'TUSD BE'!$R$7*'TUSD BE'!$S$58</f>
        <v>0</v>
      </c>
      <c r="T7" s="13">
        <f ca="1">SUM($L$7:$S$7)</f>
        <v>-0.82419815664842433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-0.18728406671708719</v>
      </c>
      <c r="AI7" s="13">
        <f>'TUSD BE'!$AI$7*'TUSD BE'!$AI$58</f>
        <v>0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-0.18728406671708719</v>
      </c>
      <c r="AM7" s="13">
        <f ca="1">SUMIF($L$4:$AL$4,"SUBTOTAL",$L$7:$AL$7)</f>
        <v>-1.0114822233655114</v>
      </c>
      <c r="AO7" s="20">
        <f ca="1">+'TUSD BE'!$T$7+'TUSD BE'!$AB$7+'TUSD BE'!$AD$7+'TUSD BE'!$AL$7</f>
        <v>105.34452981707958</v>
      </c>
      <c r="AP7" s="20">
        <f ca="1">+'TUSD BE'!$T$7+'TUSD BE'!$AB$7+'TUSD BE'!$AD$7+'TUSD BE'!$AL$7</f>
        <v>105.34452981707958</v>
      </c>
    </row>
    <row r="8" spans="1:42" ht="11.25" customHeight="1" x14ac:dyDescent="0.3">
      <c r="A8" s="95"/>
      <c r="B8" s="95"/>
      <c r="C8" s="95"/>
      <c r="D8" s="95"/>
      <c r="E8" s="17" t="s">
        <v>78</v>
      </c>
      <c r="F8" s="17" t="s">
        <v>25</v>
      </c>
      <c r="G8" s="18" t="s">
        <v>74</v>
      </c>
      <c r="H8" s="18" t="s">
        <v>70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-1.3094161477059784E-2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-1.3094161477059784E-2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-0.18728406671708719</v>
      </c>
      <c r="AI8" s="13">
        <f>'TUSD BE'!$AI$8*'TUSD BE'!$AI$58</f>
        <v>0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-0.18728406671708719</v>
      </c>
      <c r="AM8" s="13">
        <f ca="1">SUMIF($L$4:$AL$4,"SUBTOTAL",$L$8:$AL$8)</f>
        <v>-0.20037822819414697</v>
      </c>
      <c r="AO8" s="20">
        <f ca="1">+'TUSD BE'!$T$8+'TUSD BE'!$AB$8+'TUSD BE'!$AD$8+'TUSD BE'!$AL$8</f>
        <v>12.923415118136379</v>
      </c>
      <c r="AP8" s="20">
        <f ca="1">+'TUSD BE'!$T$8+'TUSD BE'!$AB$8+'TUSD BE'!$AD$8+'TUSD BE'!$AL$8</f>
        <v>12.923415118136379</v>
      </c>
    </row>
    <row r="9" spans="1:42" ht="11.25" customHeight="1" x14ac:dyDescent="0.3">
      <c r="A9" s="95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75</v>
      </c>
      <c r="I9" s="18">
        <f>'MERCADO TUSD'!$U$6</f>
        <v>0</v>
      </c>
      <c r="J9" s="15"/>
      <c r="L9" s="13">
        <f>'TUSD BE'!$L$9*'TUSD BE'!$L$58</f>
        <v>0</v>
      </c>
      <c r="M9" s="13">
        <f>'TUSD BE'!$M$9*'TUSD BE'!$M$58</f>
        <v>-1.2895183410740644E-4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-1.2895183410740644E-4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-7.2596963540656763</v>
      </c>
      <c r="AD9" s="13">
        <f>SUM($AC$9:$AC$9)</f>
        <v>-7.2596963540656763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-7.2598253058997839</v>
      </c>
      <c r="AO9" s="20">
        <f ca="1">+'TUSD BE'!$T$9+'TUSD BE'!$AB$9+'TUSD BE'!$AD$9+'TUSD BE'!$AL$9</f>
        <v>11.885620767894308</v>
      </c>
      <c r="AP9" s="20">
        <f ca="1">+'TUSD BE'!$T$9+'TUSD BE'!$AB$9+'TUSD BE'!$AD$9+'TUSD BE'!$AL$9</f>
        <v>11.885620767894308</v>
      </c>
    </row>
    <row r="10" spans="1:42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75</v>
      </c>
      <c r="I10" s="18">
        <f>'MERCADO TUSD'!$U$7</f>
        <v>18005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-3.4081831937588576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-3.4081831937588576</v>
      </c>
      <c r="AC10" s="13">
        <f>'TUSD BE'!$AC$10*'TUSD BE'!$AC$58</f>
        <v>-26.745046671362267</v>
      </c>
      <c r="AD10" s="13">
        <f>SUM($AC$10:$AC$10)</f>
        <v>-26.745046671362267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-30.153229865121126</v>
      </c>
      <c r="AO10" s="20">
        <f ca="1">+'TUSD BE'!$T$10+'TUSD BE'!$AB$10+'TUSD BE'!$AD$10+'TUSD BE'!$AL$10</f>
        <v>62.914097188536346</v>
      </c>
      <c r="AP10" s="20">
        <f ca="1">+'TUSD BE'!$T$10+'TUSD BE'!$AB$10+'TUSD BE'!$AD$10+'TUSD BE'!$AL$10</f>
        <v>62.914097188536346</v>
      </c>
    </row>
    <row r="11" spans="1:42" ht="11.25" customHeight="1" x14ac:dyDescent="0.3">
      <c r="A11" s="95"/>
      <c r="B11" s="95"/>
      <c r="C11" s="95"/>
      <c r="D11" s="95"/>
      <c r="E11" s="95"/>
      <c r="F11" s="95"/>
      <c r="G11" s="18" t="s">
        <v>71</v>
      </c>
      <c r="H11" s="18" t="s">
        <v>70</v>
      </c>
      <c r="I11" s="18">
        <f>'MERCADO TUSD'!$U$8</f>
        <v>126.06400000000002</v>
      </c>
      <c r="J11" s="15"/>
      <c r="L11" s="13">
        <f>'TUSD BE'!$L$11*'TUSD BE'!$L$58</f>
        <v>0</v>
      </c>
      <c r="M11" s="13">
        <f>'TUSD BE'!$M$11*'TUSD BE'!$M$58</f>
        <v>-1.3094161477059784E-2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-0.68092607187903764</v>
      </c>
      <c r="R11" s="13">
        <f>'TUSD BE'!$R$11*'TUSD BE'!$R$58</f>
        <v>-0.13017792329232694</v>
      </c>
      <c r="S11" s="13">
        <f>'TUSD BE'!$R$11*'TUSD BE'!$S$58</f>
        <v>0</v>
      </c>
      <c r="T11" s="13">
        <f ca="1">SUM($L$11:$S$11)</f>
        <v>-0.82419815664842433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-202.87516000495054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-202.87516000495054</v>
      </c>
      <c r="AC11" s="13">
        <f>'TUSD BE'!$AC$11*'TUSD BE'!$AC$58</f>
        <v>-2301.8669785176703</v>
      </c>
      <c r="AD11" s="13">
        <f>SUM($AC$11:$AC$11)</f>
        <v>-2301.8669785176703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-0.18728406671708719</v>
      </c>
      <c r="AI11" s="13">
        <f>'TUSD BE'!$AI$11*'TUSD BE'!$AI$58</f>
        <v>0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-0.18728406671708719</v>
      </c>
      <c r="AM11" s="13">
        <f ca="1">SUMIF($L$4:$AL$4,"SUBTOTAL",$L$11:$AL$11)</f>
        <v>-2505.7536207459862</v>
      </c>
      <c r="AO11" s="20">
        <f ca="1">+'TUSD BE'!$T$11+'TUSD BE'!$AB$11+'TUSD BE'!$AD$11+'TUSD BE'!$AL$11</f>
        <v>5011.4164498603859</v>
      </c>
      <c r="AP11" s="20">
        <f ca="1">+'TUSD BE'!$T$11+'TUSD BE'!$AB$11+'TUSD BE'!$AD$11+'TUSD BE'!$AL$11</f>
        <v>5011.4164498603859</v>
      </c>
    </row>
    <row r="12" spans="1:42" ht="11.25" customHeight="1" x14ac:dyDescent="0.3">
      <c r="A12" s="95"/>
      <c r="B12" s="95"/>
      <c r="C12" s="95"/>
      <c r="D12" s="95"/>
      <c r="E12" s="95"/>
      <c r="F12" s="95"/>
      <c r="G12" s="18" t="s">
        <v>72</v>
      </c>
      <c r="H12" s="18" t="s">
        <v>70</v>
      </c>
      <c r="I12" s="18">
        <f>'MERCADO TUSD'!$U$9</f>
        <v>4809.674</v>
      </c>
      <c r="J12" s="15"/>
      <c r="L12" s="13">
        <f>'TUSD BE'!$L$12*'TUSD BE'!$L$58</f>
        <v>0</v>
      </c>
      <c r="M12" s="13">
        <f>'TUSD BE'!$M$12*'TUSD BE'!$M$58</f>
        <v>-1.3094161477059784E-2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-0.68092607187903764</v>
      </c>
      <c r="R12" s="13">
        <f>'TUSD BE'!$R$12*'TUSD BE'!$R$58</f>
        <v>-0.13017792329232694</v>
      </c>
      <c r="S12" s="13">
        <f>'TUSD BE'!$R$12*'TUSD BE'!$S$58</f>
        <v>0</v>
      </c>
      <c r="T12" s="13">
        <f ca="1">SUM($L$12:$S$12)</f>
        <v>-0.82419815664842433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-0.18728406671708719</v>
      </c>
      <c r="AI12" s="13">
        <f>'TUSD BE'!$AI$12*'TUSD BE'!$AI$58</f>
        <v>0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-0.18728406671708719</v>
      </c>
      <c r="AM12" s="13">
        <f ca="1">SUMIF($L$4:$AL$4,"SUBTOTAL",$L$12:$AL$12)</f>
        <v>-1.0114822233655114</v>
      </c>
      <c r="AO12" s="20">
        <f ca="1">+'TUSD BE'!$T$12+'TUSD BE'!$AB$12+'TUSD BE'!$AD$12+'TUSD BE'!$AL$12</f>
        <v>105.34452981707958</v>
      </c>
      <c r="AP12" s="20">
        <f ca="1">+'TUSD BE'!$T$12+'TUSD BE'!$AB$12+'TUSD BE'!$AD$12+'TUSD BE'!$AL$12</f>
        <v>105.34452981707958</v>
      </c>
    </row>
    <row r="13" spans="1:42" ht="11.25" customHeight="1" x14ac:dyDescent="0.3">
      <c r="A13" s="95"/>
      <c r="B13" s="95"/>
      <c r="C13" s="95"/>
      <c r="D13" s="95"/>
      <c r="E13" s="95" t="s">
        <v>78</v>
      </c>
      <c r="F13" s="95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-1.3094161477059784E-2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-1.3094161477059784E-2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-202.87516000495054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-202.87516000495054</v>
      </c>
      <c r="AC13" s="13">
        <f>'TUSD BE'!$AC$13*'TUSD BE'!$AC$58</f>
        <v>-2301.8669785176703</v>
      </c>
      <c r="AD13" s="13">
        <f>SUM($AC$13:$AC$13)</f>
        <v>-2301.8669785176703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-0.18728406671708719</v>
      </c>
      <c r="AI13" s="13">
        <f>'TUSD BE'!$AI$13*'TUSD BE'!$AI$58</f>
        <v>0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-0.18728406671708719</v>
      </c>
      <c r="AM13" s="13">
        <f ca="1">SUMIF($L$4:$AL$4,"SUBTOTAL",$L$13:$AL$13)</f>
        <v>-2504.9425167508148</v>
      </c>
      <c r="AO13" s="20">
        <f ca="1">+'TUSD BE'!$T$13+'TUSD BE'!$AB$13+'TUSD BE'!$AD$13+'TUSD BE'!$AL$13</f>
        <v>4918.9953351614431</v>
      </c>
      <c r="AP13" s="20">
        <f ca="1">+'TUSD BE'!$T$13+'TUSD BE'!$AB$13+'TUSD BE'!$AD$13+'TUSD BE'!$AL$13</f>
        <v>4918.9953351614431</v>
      </c>
    </row>
    <row r="14" spans="1:42" ht="11.25" customHeight="1" x14ac:dyDescent="0.3">
      <c r="A14" s="95"/>
      <c r="B14" s="95"/>
      <c r="C14" s="95"/>
      <c r="D14" s="95"/>
      <c r="E14" s="95"/>
      <c r="F14" s="95"/>
      <c r="G14" s="18" t="s">
        <v>72</v>
      </c>
      <c r="H14" s="18" t="s">
        <v>70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-1.3094161477059784E-2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-1.3094161477059784E-2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-0.18728406671708719</v>
      </c>
      <c r="AI14" s="13">
        <f>'TUSD BE'!$AI$14*'TUSD BE'!$AI$58</f>
        <v>0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-0.18728406671708719</v>
      </c>
      <c r="AM14" s="13">
        <f ca="1">SUMIF($L$4:$AL$4,"SUBTOTAL",$L$14:$AL$14)</f>
        <v>-0.20037822819414697</v>
      </c>
      <c r="AO14" s="20">
        <f ca="1">+'TUSD BE'!$T$14+'TUSD BE'!$AB$14+'TUSD BE'!$AD$14+'TUSD BE'!$AL$14</f>
        <v>12.923415118136379</v>
      </c>
      <c r="AP14" s="20">
        <f ca="1">+'TUSD BE'!$T$14+'TUSD BE'!$AB$14+'TUSD BE'!$AD$14+'TUSD BE'!$AL$14</f>
        <v>12.923415118136379</v>
      </c>
    </row>
    <row r="15" spans="1:42" ht="11.25" customHeight="1" x14ac:dyDescent="0.3">
      <c r="A15" s="95" t="s">
        <v>80</v>
      </c>
      <c r="B15" s="95" t="s">
        <v>79</v>
      </c>
      <c r="C15" s="95" t="s">
        <v>25</v>
      </c>
      <c r="D15" s="95" t="s">
        <v>25</v>
      </c>
      <c r="E15" s="17" t="s">
        <v>81</v>
      </c>
      <c r="F15" s="17" t="s">
        <v>25</v>
      </c>
      <c r="G15" s="18" t="s">
        <v>9</v>
      </c>
      <c r="H15" s="18" t="s">
        <v>75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-1.3250096715623414E-4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-1.3250096715623414E-4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-12.48055150598562</v>
      </c>
      <c r="AD15" s="13">
        <f>SUM($AC$15:$AC$15)</f>
        <v>-12.48055150598562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-12.480684006952776</v>
      </c>
      <c r="AO15" s="20">
        <f ca="1">+'TUSD BE'!$T$15+'TUSD BE'!$AB$15+'TUSD BE'!$AD$15+'TUSD BE'!$AL$15</f>
        <v>20.425404951549666</v>
      </c>
      <c r="AP15" s="20">
        <f ca="1">+'TUSD BE'!$T$15+'TUSD BE'!$AB$15+'TUSD BE'!$AD$15+'TUSD BE'!$AL$15</f>
        <v>20.425404951549666</v>
      </c>
    </row>
    <row r="16" spans="1:42" ht="11.25" customHeight="1" x14ac:dyDescent="0.3">
      <c r="A16" s="95"/>
      <c r="B16" s="95"/>
      <c r="C16" s="95"/>
      <c r="D16" s="95"/>
      <c r="E16" s="17" t="s">
        <v>82</v>
      </c>
      <c r="F16" s="17" t="s">
        <v>25</v>
      </c>
      <c r="G16" s="18" t="s">
        <v>9</v>
      </c>
      <c r="H16" s="18" t="s">
        <v>75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-1.3250096715623414E-4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-1.3250096715623414E-4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-25.39208198660226</v>
      </c>
      <c r="AD16" s="13">
        <f>SUM($AC$16:$AC$16)</f>
        <v>-25.39208198660226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-25.392214487569415</v>
      </c>
      <c r="AO16" s="20">
        <f ca="1">+'TUSD BE'!$T$16+'TUSD BE'!$AB$16+'TUSD BE'!$AD$16+'TUSD BE'!$AL$16</f>
        <v>41.544102180326092</v>
      </c>
      <c r="AP16" s="20">
        <f ca="1">+'TUSD BE'!$T$16+'TUSD BE'!$AB$16+'TUSD BE'!$AD$16+'TUSD BE'!$AL$16</f>
        <v>41.544102180326092</v>
      </c>
    </row>
    <row r="17" spans="1:42" ht="11.25" customHeight="1" x14ac:dyDescent="0.3">
      <c r="A17" s="95" t="s">
        <v>22</v>
      </c>
      <c r="B17" s="95" t="s">
        <v>33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71</v>
      </c>
      <c r="H17" s="18" t="s">
        <v>70</v>
      </c>
      <c r="I17" s="18">
        <f>'MERCADO TUSD'!$U$14</f>
        <v>0.66799999999999993</v>
      </c>
      <c r="J17" s="15"/>
      <c r="L17" s="13">
        <f>'TUSD BE'!$L$17*'TUSD BE'!$L$58</f>
        <v>0</v>
      </c>
      <c r="M17" s="13">
        <f>'TUSD BE'!$M$17*'TUSD BE'!$M$58</f>
        <v>-2.9988993480208115E-2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-0.81062627604647342</v>
      </c>
      <c r="R17" s="13">
        <f>'TUSD BE'!$R$17*'TUSD BE'!$R$58</f>
        <v>-0.13017792329232694</v>
      </c>
      <c r="S17" s="13">
        <f>'TUSD BE'!$R$17*'TUSD BE'!$S$58</f>
        <v>0</v>
      </c>
      <c r="T17" s="13">
        <f ca="1">SUM($L$17:$S$17)</f>
        <v>-0.97079319281900844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-74.273950452307048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-74.273950452307048</v>
      </c>
      <c r="AC17" s="13">
        <f>'TUSD BE'!$AC$17*'TUSD BE'!$AC$58</f>
        <v>-1075.4993492104918</v>
      </c>
      <c r="AD17" s="13">
        <f>SUM($AC$17:$AC$17)</f>
        <v>-1075.4993492104918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-0.4850758522085053</v>
      </c>
      <c r="AI17" s="13">
        <f>'TUSD BE'!$AI$17*'TUSD BE'!$AI$58</f>
        <v>0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-0.4850758522085053</v>
      </c>
      <c r="AM17" s="13">
        <f ca="1">SUMIF($L$4:$AL$4,"SUBTOTAL",$L$17:$AL$17)</f>
        <v>-1151.2291687078264</v>
      </c>
      <c r="AO17" s="20">
        <f ca="1">+'TUSD BE'!$T$17+'TUSD BE'!$AB$17+'TUSD BE'!$AD$17+'TUSD BE'!$AL$17</f>
        <v>2317.2419011220341</v>
      </c>
      <c r="AP17" s="20">
        <f ca="1">+'TUSD BE'!$T$17+'TUSD BE'!$AB$17+'TUSD BE'!$AD$17+'TUSD BE'!$AL$17</f>
        <v>2317.2419011220341</v>
      </c>
    </row>
    <row r="18" spans="1:42" ht="11.25" customHeight="1" x14ac:dyDescent="0.3">
      <c r="A18" s="95"/>
      <c r="B18" s="95"/>
      <c r="C18" s="95"/>
      <c r="D18" s="95"/>
      <c r="E18" s="95"/>
      <c r="F18" s="95"/>
      <c r="G18" s="18" t="s">
        <v>83</v>
      </c>
      <c r="H18" s="18" t="s">
        <v>70</v>
      </c>
      <c r="I18" s="18">
        <f>'MERCADO TUSD'!$U$15</f>
        <v>0.34</v>
      </c>
      <c r="J18" s="15"/>
      <c r="L18" s="13">
        <f>'TUSD BE'!$L$18*'TUSD BE'!$L$58</f>
        <v>0</v>
      </c>
      <c r="M18" s="13">
        <f>'TUSD BE'!$M$18*'TUSD BE'!$M$58</f>
        <v>-2.9988993480208115E-2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-0.81062627604647342</v>
      </c>
      <c r="R18" s="13">
        <f>'TUSD BE'!$R$18*'TUSD BE'!$R$58</f>
        <v>-0.13017792329232694</v>
      </c>
      <c r="S18" s="13">
        <f>'TUSD BE'!$R$18*'TUSD BE'!$S$58</f>
        <v>0</v>
      </c>
      <c r="T18" s="13">
        <f ca="1">SUM($L$18:$S$18)</f>
        <v>-0.97079319281900844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-44.564378710248945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-44.564378710248945</v>
      </c>
      <c r="AC18" s="13">
        <f>'TUSD BE'!$AC$18*'TUSD BE'!$AC$58</f>
        <v>-645.29992153499563</v>
      </c>
      <c r="AD18" s="13">
        <f>SUM($AC$18:$AC$18)</f>
        <v>-645.29992153499563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-0.4850758522085053</v>
      </c>
      <c r="AI18" s="13">
        <f>'TUSD BE'!$AI$18*'TUSD BE'!$AI$58</f>
        <v>0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-0.4850758522085053</v>
      </c>
      <c r="AM18" s="13">
        <f ca="1">SUMIF($L$4:$AL$4,"SUBTOTAL",$L$18:$AL$18)</f>
        <v>-691.32016929027213</v>
      </c>
      <c r="AO18" s="20">
        <f ca="1">+'TUSD BE'!$T$18+'TUSD BE'!$AB$18+'TUSD BE'!$AD$18+'TUSD BE'!$AL$18</f>
        <v>1446.4921141168909</v>
      </c>
      <c r="AP18" s="20">
        <f ca="1">+'TUSD BE'!$T$18+'TUSD BE'!$AB$18+'TUSD BE'!$AD$18+'TUSD BE'!$AL$18</f>
        <v>1446.4921141168909</v>
      </c>
    </row>
    <row r="19" spans="1:42" ht="11.25" customHeight="1" x14ac:dyDescent="0.3">
      <c r="A19" s="95"/>
      <c r="B19" s="95"/>
      <c r="C19" s="95"/>
      <c r="D19" s="95"/>
      <c r="E19" s="95"/>
      <c r="F19" s="95"/>
      <c r="G19" s="18" t="s">
        <v>72</v>
      </c>
      <c r="H19" s="18" t="s">
        <v>70</v>
      </c>
      <c r="I19" s="18">
        <f>'MERCADO TUSD'!$U$16</f>
        <v>8.6609999999999996</v>
      </c>
      <c r="J19" s="15"/>
      <c r="L19" s="13">
        <f>'TUSD BE'!$L$19*'TUSD BE'!$L$58</f>
        <v>0</v>
      </c>
      <c r="M19" s="13">
        <f>'TUSD BE'!$M$19*'TUSD BE'!$M$58</f>
        <v>-2.9988993480208115E-2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-0.81062627604647342</v>
      </c>
      <c r="R19" s="13">
        <f>'TUSD BE'!$R$19*'TUSD BE'!$R$58</f>
        <v>-0.13017792329232694</v>
      </c>
      <c r="S19" s="13">
        <f>'TUSD BE'!$R$19*'TUSD BE'!$S$58</f>
        <v>0</v>
      </c>
      <c r="T19" s="13">
        <f ca="1">SUM($L$19:$S$19)</f>
        <v>-0.97079319281900844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-14.868372443214122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-14.868372443214122</v>
      </c>
      <c r="AC19" s="13">
        <f>'TUSD BE'!$AC$19*'TUSD BE'!$AC$58</f>
        <v>-215.09967992375888</v>
      </c>
      <c r="AD19" s="13">
        <f>SUM($AC$19:$AC$19)</f>
        <v>-215.09967992375888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-0.4850758522085053</v>
      </c>
      <c r="AI19" s="13">
        <f>'TUSD BE'!$AI$19*'TUSD BE'!$AI$58</f>
        <v>0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-0.4850758522085053</v>
      </c>
      <c r="AM19" s="13">
        <f ca="1">SUMIF($L$4:$AL$4,"SUBTOTAL",$L$19:$AL$19)</f>
        <v>-231.42392141200051</v>
      </c>
      <c r="AO19" s="20">
        <f ca="1">+'TUSD BE'!$T$19+'TUSD BE'!$AB$19+'TUSD BE'!$AD$19+'TUSD BE'!$AL$19</f>
        <v>575.81729216348947</v>
      </c>
      <c r="AP19" s="20">
        <f ca="1">+'TUSD BE'!$T$19+'TUSD BE'!$AB$19+'TUSD BE'!$AD$19+'TUSD BE'!$AL$19</f>
        <v>575.81729216348947</v>
      </c>
    </row>
    <row r="20" spans="1:42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74</v>
      </c>
      <c r="H20" s="18" t="s">
        <v>70</v>
      </c>
      <c r="I20" s="18">
        <f>'MERCADO TUSD'!$U$17</f>
        <v>15958.987000000001</v>
      </c>
      <c r="J20" s="15"/>
      <c r="L20" s="13">
        <f>'TUSD BE'!$L$20*'TUSD BE'!$L$58</f>
        <v>0</v>
      </c>
      <c r="M20" s="13">
        <f>'TUSD BE'!$M$20*'TUSD BE'!$M$58</f>
        <v>-2.9988993480208115E-2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-0.81062627604647342</v>
      </c>
      <c r="R20" s="13">
        <f>'TUSD BE'!$R$20*'TUSD BE'!$R$58</f>
        <v>-0.13017792329232694</v>
      </c>
      <c r="S20" s="13">
        <f>'TUSD BE'!$R$20*'TUSD BE'!$S$58</f>
        <v>0</v>
      </c>
      <c r="T20" s="13">
        <f ca="1">SUM($L$20:$S$20)</f>
        <v>-0.97079319281900844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-27.496289597084527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-27.496289597084527</v>
      </c>
      <c r="AC20" s="13">
        <f>'TUSD BE'!$AC$20*'TUSD BE'!$AC$58</f>
        <v>-398.33323298043359</v>
      </c>
      <c r="AD20" s="13">
        <f>SUM($AC$20:$AC$20)</f>
        <v>-398.33323298043359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-0.4850758522085053</v>
      </c>
      <c r="AI20" s="13">
        <f>'TUSD BE'!$AI$20*'TUSD BE'!$AI$58</f>
        <v>0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-0.4850758522085053</v>
      </c>
      <c r="AM20" s="13">
        <f ca="1">SUMIF($L$4:$AL$4,"SUBTOTAL",$L$20:$AL$20)</f>
        <v>-427.28539162254566</v>
      </c>
      <c r="AO20" s="20">
        <f ca="1">+'TUSD BE'!$T$20+'TUSD BE'!$AB$20+'TUSD BE'!$AD$20+'TUSD BE'!$AL$20</f>
        <v>946.54582943602099</v>
      </c>
      <c r="AP20" s="20">
        <f ca="1">+'TUSD BE'!$T$20+'TUSD BE'!$AB$20+'TUSD BE'!$AD$20+'TUSD BE'!$AL$20</f>
        <v>946.54582943602099</v>
      </c>
    </row>
    <row r="21" spans="1:42" ht="11.25" customHeight="1" x14ac:dyDescent="0.3">
      <c r="A21" s="95"/>
      <c r="B21" s="95"/>
      <c r="C21" s="95"/>
      <c r="D21" s="17" t="s">
        <v>29</v>
      </c>
      <c r="E21" s="17" t="s">
        <v>25</v>
      </c>
      <c r="F21" s="17" t="s">
        <v>25</v>
      </c>
      <c r="G21" s="18" t="s">
        <v>74</v>
      </c>
      <c r="H21" s="18" t="s">
        <v>70</v>
      </c>
      <c r="I21" s="18">
        <f>'MERCADO TUSD'!$U$18</f>
        <v>86.132999999999996</v>
      </c>
      <c r="J21" s="15"/>
      <c r="L21" s="13">
        <f>'TUSD BE'!$L$21*'TUSD BE'!$L$58</f>
        <v>0</v>
      </c>
      <c r="M21" s="13">
        <f>'TUSD BE'!$M$21*'TUSD BE'!$M$58</f>
        <v>-2.9988993480208115E-2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-2.9988993480208115E-2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-27.496289597084527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-27.496289597084527</v>
      </c>
      <c r="AC21" s="13">
        <f>'TUSD BE'!$AC$21*'TUSD BE'!$AC$58</f>
        <v>-398.33323298043359</v>
      </c>
      <c r="AD21" s="13">
        <f>SUM($AC$21:$AC$21)</f>
        <v>-398.33323298043359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-0.4850758522085053</v>
      </c>
      <c r="AI21" s="13">
        <f>'TUSD BE'!$AI$21*'TUSD BE'!$AI$58</f>
        <v>0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-0.4850758522085053</v>
      </c>
      <c r="AM21" s="13">
        <f ca="1">SUMIF($L$4:$AL$4,"SUBTOTAL",$L$21:$AL$21)</f>
        <v>-426.34458742320686</v>
      </c>
      <c r="AO21" s="20">
        <f ca="1">+'TUSD BE'!$T$21+'TUSD BE'!$AB$21+'TUSD BE'!$AD$21+'TUSD BE'!$AL$21</f>
        <v>839.30736873358853</v>
      </c>
      <c r="AP21" s="20">
        <f ca="1">+'TUSD BE'!$T$21+'TUSD BE'!$AB$21+'TUSD BE'!$AD$21+'TUSD BE'!$AL$21</f>
        <v>839.30736873358853</v>
      </c>
    </row>
    <row r="22" spans="1:42" ht="11.25" customHeight="1" x14ac:dyDescent="0.3">
      <c r="A22" s="95"/>
      <c r="B22" s="95"/>
      <c r="C22" s="95"/>
      <c r="D22" s="17" t="s">
        <v>30</v>
      </c>
      <c r="E22" s="17" t="s">
        <v>25</v>
      </c>
      <c r="F22" s="17" t="s">
        <v>25</v>
      </c>
      <c r="G22" s="18" t="s">
        <v>74</v>
      </c>
      <c r="H22" s="18" t="s">
        <v>70</v>
      </c>
      <c r="I22" s="18">
        <f>'MERCADO TUSD'!$U$19</f>
        <v>172.315</v>
      </c>
      <c r="J22" s="15"/>
      <c r="L22" s="13">
        <f>'TUSD BE'!$L$22*'TUSD BE'!$L$58</f>
        <v>0</v>
      </c>
      <c r="M22" s="13">
        <f>'TUSD BE'!$M$22*'TUSD BE'!$M$58</f>
        <v>-2.9988993480208115E-2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-2.9988993480208115E-2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-27.496289597084527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-27.496289597084527</v>
      </c>
      <c r="AC22" s="13">
        <f>'TUSD BE'!$AC$22*'TUSD BE'!$AC$58</f>
        <v>-398.33323298043359</v>
      </c>
      <c r="AD22" s="13">
        <f>SUM($AC$22:$AC$22)</f>
        <v>-398.33323298043359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-0.4850758522085053</v>
      </c>
      <c r="AI22" s="13">
        <f>'TUSD BE'!$AI$22*'TUSD BE'!$AI$58</f>
        <v>0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-0.4850758522085053</v>
      </c>
      <c r="AM22" s="13">
        <f ca="1">SUMIF($L$4:$AL$4,"SUBTOTAL",$L$22:$AL$22)</f>
        <v>-426.34458742320686</v>
      </c>
      <c r="AO22" s="20">
        <f ca="1">+'TUSD BE'!$T$22+'TUSD BE'!$AB$22+'TUSD BE'!$AD$22+'TUSD BE'!$AL$22</f>
        <v>839.30736873358853</v>
      </c>
      <c r="AP22" s="20">
        <f ca="1">+'TUSD BE'!$T$22+'TUSD BE'!$AB$22+'TUSD BE'!$AD$22+'TUSD BE'!$AL$22</f>
        <v>839.30736873358853</v>
      </c>
    </row>
    <row r="23" spans="1:42" ht="11.25" customHeight="1" x14ac:dyDescent="0.3">
      <c r="A23" s="95"/>
      <c r="B23" s="95"/>
      <c r="C23" s="95"/>
      <c r="D23" s="17" t="s">
        <v>31</v>
      </c>
      <c r="E23" s="17" t="s">
        <v>25</v>
      </c>
      <c r="F23" s="17" t="s">
        <v>25</v>
      </c>
      <c r="G23" s="18" t="s">
        <v>74</v>
      </c>
      <c r="H23" s="18" t="s">
        <v>70</v>
      </c>
      <c r="I23" s="18">
        <f>'MERCADO TUSD'!$U$20</f>
        <v>174.131</v>
      </c>
      <c r="J23" s="15"/>
      <c r="L23" s="13">
        <f>'TUSD BE'!$L$23*'TUSD BE'!$L$58</f>
        <v>0</v>
      </c>
      <c r="M23" s="13">
        <f>'TUSD BE'!$M$23*'TUSD BE'!$M$58</f>
        <v>-2.9988993480208115E-2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-2.9988993480208115E-2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-27.496289597084527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-27.496289597084527</v>
      </c>
      <c r="AC23" s="13">
        <f>'TUSD BE'!$AC$23*'TUSD BE'!$AC$58</f>
        <v>-398.33323298043359</v>
      </c>
      <c r="AD23" s="13">
        <f>SUM($AC$23:$AC$23)</f>
        <v>-398.33323298043359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-0.4850758522085053</v>
      </c>
      <c r="AI23" s="13">
        <f>'TUSD BE'!$AI$23*'TUSD BE'!$AI$58</f>
        <v>0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-0.4850758522085053</v>
      </c>
      <c r="AM23" s="13">
        <f ca="1">SUMIF($L$4:$AL$4,"SUBTOTAL",$L$23:$AL$23)</f>
        <v>-426.34458742320686</v>
      </c>
      <c r="AO23" s="20">
        <f ca="1">+'TUSD BE'!$T$23+'TUSD BE'!$AB$23+'TUSD BE'!$AD$23+'TUSD BE'!$AL$23</f>
        <v>839.30736873358853</v>
      </c>
      <c r="AP23" s="20">
        <f ca="1">+'TUSD BE'!$T$23+'TUSD BE'!$AB$23+'TUSD BE'!$AD$23+'TUSD BE'!$AL$23</f>
        <v>839.30736873358853</v>
      </c>
    </row>
    <row r="24" spans="1:42" ht="11.25" customHeight="1" x14ac:dyDescent="0.3">
      <c r="A24" s="95"/>
      <c r="B24" s="95"/>
      <c r="C24" s="95"/>
      <c r="D24" s="17" t="s">
        <v>32</v>
      </c>
      <c r="E24" s="17" t="s">
        <v>25</v>
      </c>
      <c r="F24" s="17" t="s">
        <v>25</v>
      </c>
      <c r="G24" s="18" t="s">
        <v>74</v>
      </c>
      <c r="H24" s="18" t="s">
        <v>70</v>
      </c>
      <c r="I24" s="18">
        <f>'MERCADO TUSD'!$U$21</f>
        <v>71.680000000000007</v>
      </c>
      <c r="J24" s="15"/>
      <c r="L24" s="13">
        <f>'TUSD BE'!$L$24*'TUSD BE'!$L$58</f>
        <v>0</v>
      </c>
      <c r="M24" s="13">
        <f>'TUSD BE'!$M$24*'TUSD BE'!$M$58</f>
        <v>-2.9988993480208115E-2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-2.9988993480208115E-2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-27.496289597084527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-27.496289597084527</v>
      </c>
      <c r="AC24" s="13">
        <f>'TUSD BE'!$AC$24*'TUSD BE'!$AC$58</f>
        <v>-398.33323298043359</v>
      </c>
      <c r="AD24" s="13">
        <f>SUM($AC$24:$AC$24)</f>
        <v>-398.33323298043359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-0.4850758522085053</v>
      </c>
      <c r="AI24" s="13">
        <f>'TUSD BE'!$AI$24*'TUSD BE'!$AI$58</f>
        <v>0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-0.4850758522085053</v>
      </c>
      <c r="AM24" s="13">
        <f ca="1">SUMIF($L$4:$AL$4,"SUBTOTAL",$L$24:$AL$24)</f>
        <v>-426.34458742320686</v>
      </c>
      <c r="AO24" s="20">
        <f ca="1">+'TUSD BE'!$T$24+'TUSD BE'!$AB$24+'TUSD BE'!$AD$24+'TUSD BE'!$AL$24</f>
        <v>839.30736873358853</v>
      </c>
      <c r="AP24" s="20">
        <f ca="1">+'TUSD BE'!$T$24+'TUSD BE'!$AB$24+'TUSD BE'!$AD$24+'TUSD BE'!$AL$24</f>
        <v>839.30736873358853</v>
      </c>
    </row>
    <row r="25" spans="1:42" ht="11.25" customHeight="1" x14ac:dyDescent="0.3">
      <c r="A25" s="95"/>
      <c r="B25" s="95" t="s">
        <v>85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74</v>
      </c>
      <c r="H25" s="18" t="s">
        <v>70</v>
      </c>
      <c r="I25" s="18">
        <f>'MERCADO TUSD'!$U$22</f>
        <v>0</v>
      </c>
      <c r="J25" s="15"/>
      <c r="L25" s="13">
        <f>'TUSD BE'!$L$25*'TUSD BE'!$L$58</f>
        <v>0</v>
      </c>
      <c r="M25" s="13">
        <f>'TUSD BE'!$M$25*'TUSD BE'!$M$58</f>
        <v>-2.9988993480208115E-2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-0.81062627604647342</v>
      </c>
      <c r="R25" s="13">
        <f>'TUSD BE'!$R$25*'TUSD BE'!$R$58</f>
        <v>-0.13017792329232694</v>
      </c>
      <c r="S25" s="13">
        <f>'TUSD BE'!$R$25*'TUSD BE'!$S$58</f>
        <v>0</v>
      </c>
      <c r="T25" s="13">
        <f ca="1">SUM($L$25:$S$25)</f>
        <v>-0.97079319281900844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-27.496289597084527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-27.496289597084527</v>
      </c>
      <c r="AC25" s="13">
        <f>'TUSD BE'!$AC$25*'TUSD BE'!$AC$58</f>
        <v>-398.33323298043359</v>
      </c>
      <c r="AD25" s="13">
        <f>SUM($AC$25:$AC$25)</f>
        <v>-398.33323298043359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-0.4850758522085053</v>
      </c>
      <c r="AI25" s="13">
        <f>'TUSD BE'!$AI$25*'TUSD BE'!$AI$58</f>
        <v>0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-0.4850758522085053</v>
      </c>
      <c r="AM25" s="13">
        <f ca="1">SUMIF($L$4:$AL$4,"SUBTOTAL",$L$25:$AL$25)</f>
        <v>-427.28539162254566</v>
      </c>
      <c r="AO25" s="20">
        <f ca="1">+'TUSD BE'!$T$25+'TUSD BE'!$AB$25+'TUSD BE'!$AD$25+'TUSD BE'!$AL$25</f>
        <v>946.54582943602099</v>
      </c>
      <c r="AP25" s="20">
        <f ca="1">+'TUSD BE'!$T$25+'TUSD BE'!$AB$25+'TUSD BE'!$AD$25+'TUSD BE'!$AL$25</f>
        <v>946.54582943602099</v>
      </c>
    </row>
    <row r="26" spans="1:42" ht="11.25" customHeight="1" x14ac:dyDescent="0.3">
      <c r="A26" s="95"/>
      <c r="B26" s="95"/>
      <c r="C26" s="95"/>
      <c r="D26" s="17" t="s">
        <v>29</v>
      </c>
      <c r="E26" s="17" t="s">
        <v>25</v>
      </c>
      <c r="F26" s="17" t="s">
        <v>25</v>
      </c>
      <c r="G26" s="18" t="s">
        <v>74</v>
      </c>
      <c r="H26" s="18" t="s">
        <v>70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-2.9988993480208115E-2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-2.9988993480208115E-2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-27.496289597084527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-27.496289597084527</v>
      </c>
      <c r="AC26" s="13">
        <f>'TUSD BE'!$AC$26*'TUSD BE'!$AC$58</f>
        <v>-398.33323298043359</v>
      </c>
      <c r="AD26" s="13">
        <f>SUM($AC$26:$AC$26)</f>
        <v>-398.33323298043359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-0.4850758522085053</v>
      </c>
      <c r="AI26" s="13">
        <f>'TUSD BE'!$AI$26*'TUSD BE'!$AI$58</f>
        <v>0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-0.4850758522085053</v>
      </c>
      <c r="AM26" s="13">
        <f ca="1">SUMIF($L$4:$AL$4,"SUBTOTAL",$L$26:$AL$26)</f>
        <v>-426.34458742320686</v>
      </c>
      <c r="AO26" s="20">
        <f ca="1">+'TUSD BE'!$T$26+'TUSD BE'!$AB$26+'TUSD BE'!$AD$26+'TUSD BE'!$AL$26</f>
        <v>839.30736873358853</v>
      </c>
      <c r="AP26" s="20">
        <f ca="1">+'TUSD BE'!$T$26+'TUSD BE'!$AB$26+'TUSD BE'!$AD$26+'TUSD BE'!$AL$26</f>
        <v>839.30736873358853</v>
      </c>
    </row>
    <row r="27" spans="1:42" ht="11.25" customHeight="1" x14ac:dyDescent="0.3">
      <c r="A27" s="95"/>
      <c r="B27" s="95"/>
      <c r="C27" s="95"/>
      <c r="D27" s="17" t="s">
        <v>30</v>
      </c>
      <c r="E27" s="17" t="s">
        <v>25</v>
      </c>
      <c r="F27" s="17" t="s">
        <v>25</v>
      </c>
      <c r="G27" s="18" t="s">
        <v>74</v>
      </c>
      <c r="H27" s="18" t="s">
        <v>70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-2.9988993480208115E-2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-2.9988993480208115E-2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-27.496289597084527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-27.496289597084527</v>
      </c>
      <c r="AC27" s="13">
        <f>'TUSD BE'!$AC$27*'TUSD BE'!$AC$58</f>
        <v>-398.33323298043359</v>
      </c>
      <c r="AD27" s="13">
        <f>SUM($AC$27:$AC$27)</f>
        <v>-398.33323298043359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-0.4850758522085053</v>
      </c>
      <c r="AI27" s="13">
        <f>'TUSD BE'!$AI$27*'TUSD BE'!$AI$58</f>
        <v>0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-0.4850758522085053</v>
      </c>
      <c r="AM27" s="13">
        <f ca="1">SUMIF($L$4:$AL$4,"SUBTOTAL",$L$27:$AL$27)</f>
        <v>-426.34458742320686</v>
      </c>
      <c r="AO27" s="20">
        <f ca="1">+'TUSD BE'!$T$27+'TUSD BE'!$AB$27+'TUSD BE'!$AD$27+'TUSD BE'!$AL$27</f>
        <v>839.30736873358853</v>
      </c>
      <c r="AP27" s="20">
        <f ca="1">+'TUSD BE'!$T$27+'TUSD BE'!$AB$27+'TUSD BE'!$AD$27+'TUSD BE'!$AL$27</f>
        <v>839.30736873358853</v>
      </c>
    </row>
    <row r="28" spans="1:42" ht="11.25" customHeight="1" x14ac:dyDescent="0.3">
      <c r="A28" s="95"/>
      <c r="B28" s="95"/>
      <c r="C28" s="95"/>
      <c r="D28" s="17" t="s">
        <v>31</v>
      </c>
      <c r="E28" s="17" t="s">
        <v>25</v>
      </c>
      <c r="F28" s="17" t="s">
        <v>25</v>
      </c>
      <c r="G28" s="18" t="s">
        <v>74</v>
      </c>
      <c r="H28" s="18" t="s">
        <v>70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-2.9988993480208115E-2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-2.9988993480208115E-2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-27.496289597084527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-27.496289597084527</v>
      </c>
      <c r="AC28" s="13">
        <f>'TUSD BE'!$AC$28*'TUSD BE'!$AC$58</f>
        <v>-398.33323298043359</v>
      </c>
      <c r="AD28" s="13">
        <f>SUM($AC$28:$AC$28)</f>
        <v>-398.33323298043359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-0.4850758522085053</v>
      </c>
      <c r="AI28" s="13">
        <f>'TUSD BE'!$AI$28*'TUSD BE'!$AI$58</f>
        <v>0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-0.4850758522085053</v>
      </c>
      <c r="AM28" s="13">
        <f ca="1">SUMIF($L$4:$AL$4,"SUBTOTAL",$L$28:$AL$28)</f>
        <v>-426.34458742320686</v>
      </c>
      <c r="AO28" s="20">
        <f ca="1">+'TUSD BE'!$T$28+'TUSD BE'!$AB$28+'TUSD BE'!$AD$28+'TUSD BE'!$AL$28</f>
        <v>839.30736873358853</v>
      </c>
      <c r="AP28" s="20">
        <f ca="1">+'TUSD BE'!$T$28+'TUSD BE'!$AB$28+'TUSD BE'!$AD$28+'TUSD BE'!$AL$28</f>
        <v>839.30736873358853</v>
      </c>
    </row>
    <row r="29" spans="1:42" ht="11.25" customHeight="1" x14ac:dyDescent="0.3">
      <c r="A29" s="95"/>
      <c r="B29" s="95"/>
      <c r="C29" s="95"/>
      <c r="D29" s="17" t="s">
        <v>32</v>
      </c>
      <c r="E29" s="17" t="s">
        <v>25</v>
      </c>
      <c r="F29" s="17" t="s">
        <v>25</v>
      </c>
      <c r="G29" s="18" t="s">
        <v>74</v>
      </c>
      <c r="H29" s="18" t="s">
        <v>70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-2.9988993480208115E-2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-2.9988993480208115E-2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-27.496289597084527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-27.496289597084527</v>
      </c>
      <c r="AC29" s="13">
        <f>'TUSD BE'!$AC$29*'TUSD BE'!$AC$58</f>
        <v>-398.33323298043359</v>
      </c>
      <c r="AD29" s="13">
        <f>SUM($AC$29:$AC$29)</f>
        <v>-398.33323298043359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-0.4850758522085053</v>
      </c>
      <c r="AI29" s="13">
        <f>'TUSD BE'!$AI$29*'TUSD BE'!$AI$58</f>
        <v>0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-0.4850758522085053</v>
      </c>
      <c r="AM29" s="13">
        <f ca="1">SUMIF($L$4:$AL$4,"SUBTOTAL",$L$29:$AL$29)</f>
        <v>-426.34458742320686</v>
      </c>
      <c r="AO29" s="20">
        <f ca="1">+'TUSD BE'!$T$29+'TUSD BE'!$AB$29+'TUSD BE'!$AD$29+'TUSD BE'!$AL$29</f>
        <v>839.30736873358853</v>
      </c>
      <c r="AP29" s="20">
        <f ca="1">+'TUSD BE'!$T$29+'TUSD BE'!$AB$29+'TUSD BE'!$AD$29+'TUSD BE'!$AL$29</f>
        <v>839.30736873358853</v>
      </c>
    </row>
    <row r="30" spans="1:42" ht="11.25" customHeight="1" x14ac:dyDescent="0.3">
      <c r="A30" s="95" t="s">
        <v>43</v>
      </c>
      <c r="B30" s="95" t="s">
        <v>33</v>
      </c>
      <c r="C30" s="95" t="s">
        <v>44</v>
      </c>
      <c r="D30" s="95" t="s">
        <v>25</v>
      </c>
      <c r="E30" s="95" t="s">
        <v>25</v>
      </c>
      <c r="F30" s="95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>
        <f>'TUSD BE'!$L$30*'TUSD BE'!$L$58</f>
        <v>0</v>
      </c>
      <c r="M30" s="13">
        <f>'TUSD BE'!$M$30*'TUSD BE'!$M$58</f>
        <v>-2.9988993480208115E-2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-0.81062627604647342</v>
      </c>
      <c r="R30" s="13">
        <f>'TUSD BE'!$R$30*'TUSD BE'!$R$58</f>
        <v>-0.13017792329232694</v>
      </c>
      <c r="S30" s="13">
        <f>'TUSD BE'!$R$30*'TUSD BE'!$S$58</f>
        <v>0</v>
      </c>
      <c r="T30" s="13">
        <f ca="1">SUM($L$30:$S$30)</f>
        <v>-0.97079319281900844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-81.117468887033127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-81.117468887033127</v>
      </c>
      <c r="AC30" s="13">
        <f>'TUSD BE'!$AC$30*'TUSD BE'!$AC$58</f>
        <v>-1175.0828270255461</v>
      </c>
      <c r="AD30" s="13">
        <f>SUM($AC$30:$AC$30)</f>
        <v>-1175.0828270255461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-0.4850758522085053</v>
      </c>
      <c r="AI30" s="13">
        <f>'TUSD BE'!$AI$30*'TUSD BE'!$AI$58</f>
        <v>0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-0.4850758522085053</v>
      </c>
      <c r="AM30" s="13">
        <f ca="1">SUMIF($L$4:$AL$4,"SUBTOTAL",$L$30:$AL$30)</f>
        <v>-1257.6561649576065</v>
      </c>
      <c r="AO30" s="20">
        <f ca="1">+'TUSD BE'!$T$30+'TUSD BE'!$AB$30+'TUSD BE'!$AD$30+'TUSD BE'!$AL$30</f>
        <v>2518.6152812578957</v>
      </c>
      <c r="AP30" s="20">
        <f ca="1">+'TUSD BE'!$T$30+'TUSD BE'!$AB$30+'TUSD BE'!$AD$30+'TUSD BE'!$AL$30</f>
        <v>2518.6152812578957</v>
      </c>
    </row>
    <row r="31" spans="1:42" ht="11.25" customHeight="1" x14ac:dyDescent="0.3">
      <c r="A31" s="95"/>
      <c r="B31" s="95"/>
      <c r="C31" s="95"/>
      <c r="D31" s="95"/>
      <c r="E31" s="95"/>
      <c r="F31" s="95"/>
      <c r="G31" s="18" t="s">
        <v>83</v>
      </c>
      <c r="H31" s="18" t="s">
        <v>70</v>
      </c>
      <c r="I31" s="18">
        <f>'MERCADO TUSD'!$U$28</f>
        <v>0</v>
      </c>
      <c r="J31" s="15"/>
      <c r="L31" s="13">
        <f>'TUSD BE'!$L$31*'TUSD BE'!$L$58</f>
        <v>0</v>
      </c>
      <c r="M31" s="13">
        <f>'TUSD BE'!$M$31*'TUSD BE'!$M$58</f>
        <v>-2.9988993480208115E-2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-0.81062627604647342</v>
      </c>
      <c r="R31" s="13">
        <f>'TUSD BE'!$R$31*'TUSD BE'!$R$58</f>
        <v>-0.13017792329232694</v>
      </c>
      <c r="S31" s="13">
        <f>'TUSD BE'!$R$31*'TUSD BE'!$S$58</f>
        <v>0</v>
      </c>
      <c r="T31" s="13">
        <f ca="1">SUM($L$31:$S$31)</f>
        <v>-0.97079319281900844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-48.665055142210555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-48.665055142210555</v>
      </c>
      <c r="AC31" s="13">
        <f>'TUSD BE'!$AC$31*'TUSD BE'!$AC$58</f>
        <v>-705.04951986258402</v>
      </c>
      <c r="AD31" s="13">
        <f>SUM($AC$31:$AC$31)</f>
        <v>-705.04951986258402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-0.4850758522085053</v>
      </c>
      <c r="AI31" s="13">
        <f>'TUSD BE'!$AI$31*'TUSD BE'!$AI$58</f>
        <v>0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-0.4850758522085053</v>
      </c>
      <c r="AM31" s="13">
        <f ca="1">SUMIF($L$4:$AL$4,"SUBTOTAL",$L$31:$AL$31)</f>
        <v>-755.17044404982209</v>
      </c>
      <c r="AO31" s="20">
        <f ca="1">+'TUSD BE'!$T$31+'TUSD BE'!$AB$31+'TUSD BE'!$AD$31+'TUSD BE'!$AL$31</f>
        <v>1567.2847774039728</v>
      </c>
      <c r="AP31" s="20">
        <f ca="1">+'TUSD BE'!$T$31+'TUSD BE'!$AB$31+'TUSD BE'!$AD$31+'TUSD BE'!$AL$31</f>
        <v>1567.2847774039728</v>
      </c>
    </row>
    <row r="32" spans="1:42" ht="11.25" customHeight="1" x14ac:dyDescent="0.3">
      <c r="A32" s="95"/>
      <c r="B32" s="95"/>
      <c r="C32" s="95"/>
      <c r="D32" s="95"/>
      <c r="E32" s="95"/>
      <c r="F32" s="95"/>
      <c r="G32" s="18" t="s">
        <v>72</v>
      </c>
      <c r="H32" s="18" t="s">
        <v>70</v>
      </c>
      <c r="I32" s="18">
        <f>'MERCADO TUSD'!$U$29</f>
        <v>0</v>
      </c>
      <c r="J32" s="15"/>
      <c r="L32" s="13">
        <f>'TUSD BE'!$L$32*'TUSD BE'!$L$58</f>
        <v>0</v>
      </c>
      <c r="M32" s="13">
        <f>'TUSD BE'!$M$32*'TUSD BE'!$M$58</f>
        <v>-2.9988993480208115E-2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-0.81062627604647342</v>
      </c>
      <c r="R32" s="13">
        <f>'TUSD BE'!$R$32*'TUSD BE'!$R$58</f>
        <v>-0.13017792329232694</v>
      </c>
      <c r="S32" s="13">
        <f>'TUSD BE'!$R$32*'TUSD BE'!$S$58</f>
        <v>0</v>
      </c>
      <c r="T32" s="13">
        <f ca="1">SUM($L$32:$S$32)</f>
        <v>-0.97079319281900844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-16.212641397387994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-16.212641397387994</v>
      </c>
      <c r="AC32" s="13">
        <f>'TUSD BE'!$AC$32*'TUSD BE'!$AC$58</f>
        <v>-235.01648401153514</v>
      </c>
      <c r="AD32" s="13">
        <f>SUM($AC$32:$AC$32)</f>
        <v>-235.01648401153514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-0.4850758522085053</v>
      </c>
      <c r="AI32" s="13">
        <f>'TUSD BE'!$AI$32*'TUSD BE'!$AI$58</f>
        <v>0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-0.4850758522085053</v>
      </c>
      <c r="AM32" s="13">
        <f ca="1">SUMIF($L$4:$AL$4,"SUBTOTAL",$L$32:$AL$32)</f>
        <v>-252.68499445395065</v>
      </c>
      <c r="AO32" s="20">
        <f ca="1">+'TUSD BE'!$T$32+'TUSD BE'!$AB$32+'TUSD BE'!$AD$32+'TUSD BE'!$AL$32</f>
        <v>615.95471732038084</v>
      </c>
      <c r="AP32" s="20">
        <f ca="1">+'TUSD BE'!$T$32+'TUSD BE'!$AB$32+'TUSD BE'!$AD$32+'TUSD BE'!$AL$32</f>
        <v>615.95471732038084</v>
      </c>
    </row>
    <row r="33" spans="1:42" ht="11.25" customHeight="1" x14ac:dyDescent="0.3">
      <c r="A33" s="95"/>
      <c r="B33" s="17" t="s">
        <v>23</v>
      </c>
      <c r="C33" s="17" t="s">
        <v>44</v>
      </c>
      <c r="D33" s="17" t="s">
        <v>25</v>
      </c>
      <c r="E33" s="17" t="s">
        <v>25</v>
      </c>
      <c r="F33" s="17" t="s">
        <v>25</v>
      </c>
      <c r="G33" s="18" t="s">
        <v>74</v>
      </c>
      <c r="H33" s="18" t="s">
        <v>70</v>
      </c>
      <c r="I33" s="18">
        <f>'MERCADO TUSD'!$U$30</f>
        <v>19400.674999999996</v>
      </c>
      <c r="J33" s="15"/>
      <c r="L33" s="13">
        <f>'TUSD BE'!$L$33*'TUSD BE'!$L$58</f>
        <v>0</v>
      </c>
      <c r="M33" s="13">
        <f>'TUSD BE'!$M$33*'TUSD BE'!$M$58</f>
        <v>-2.9988993480208115E-2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-0.81062627604647342</v>
      </c>
      <c r="R33" s="13">
        <f>'TUSD BE'!$R$33*'TUSD BE'!$R$58</f>
        <v>-0.13017792329232694</v>
      </c>
      <c r="S33" s="13">
        <f>'TUSD BE'!$R$33*'TUSD BE'!$S$58</f>
        <v>0</v>
      </c>
      <c r="T33" s="13">
        <f ca="1">SUM($L$33:$S$33)</f>
        <v>-0.97079319281900844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-27.496289597084527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-27.496289597084527</v>
      </c>
      <c r="AC33" s="13">
        <f>'TUSD BE'!$AC$33*'TUSD BE'!$AC$58</f>
        <v>-398.33323298043359</v>
      </c>
      <c r="AD33" s="13">
        <f>SUM($AC$33:$AC$33)</f>
        <v>-398.33323298043359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-0.4850758522085053</v>
      </c>
      <c r="AI33" s="13">
        <f>'TUSD BE'!$AI$33*'TUSD BE'!$AI$58</f>
        <v>0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-0.4850758522085053</v>
      </c>
      <c r="AM33" s="13">
        <f ca="1">SUMIF($L$4:$AL$4,"SUBTOTAL",$L$33:$AL$33)</f>
        <v>-427.28539162254566</v>
      </c>
      <c r="AO33" s="20">
        <f ca="1">+'TUSD BE'!$T$33+'TUSD BE'!$AB$33+'TUSD BE'!$AD$33+'TUSD BE'!$AL$33</f>
        <v>946.54582943602099</v>
      </c>
      <c r="AP33" s="20">
        <f ca="1">+'TUSD BE'!$T$33+'TUSD BE'!$AB$33+'TUSD BE'!$AD$33+'TUSD BE'!$AL$33</f>
        <v>946.54582943602099</v>
      </c>
    </row>
    <row r="34" spans="1:42" ht="11.25" customHeight="1" x14ac:dyDescent="0.3">
      <c r="A34" s="95"/>
      <c r="B34" s="95" t="s">
        <v>33</v>
      </c>
      <c r="C34" s="95" t="s">
        <v>44</v>
      </c>
      <c r="D34" s="95" t="s">
        <v>86</v>
      </c>
      <c r="E34" s="95" t="s">
        <v>25</v>
      </c>
      <c r="F34" s="95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>
        <f>'TUSD BE'!$L$34*'TUSD BE'!$L$58</f>
        <v>0</v>
      </c>
      <c r="M34" s="13">
        <f>'TUSD BE'!$M$34*'TUSD BE'!$M$58</f>
        <v>-2.9988993480208115E-2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-0.81062627604647342</v>
      </c>
      <c r="R34" s="13">
        <f>'TUSD BE'!$R$34*'TUSD BE'!$R$58</f>
        <v>-0.13017792329232694</v>
      </c>
      <c r="S34" s="13">
        <f>'TUSD BE'!$R$34*'TUSD BE'!$S$58</f>
        <v>0</v>
      </c>
      <c r="T34" s="13">
        <f ca="1">SUM($L$34:$S$34)</f>
        <v>-0.97079319281900844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-81.117468887033127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-81.117468887033127</v>
      </c>
      <c r="AC34" s="13">
        <f>'TUSD BE'!$AC$34*'TUSD BE'!$AC$58</f>
        <v>-1175.0828270255461</v>
      </c>
      <c r="AD34" s="13">
        <f>SUM($AC$34:$AC$34)</f>
        <v>-1175.0828270255461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-0.4850758522085053</v>
      </c>
      <c r="AI34" s="13">
        <f>'TUSD BE'!$AI$34*'TUSD BE'!$AI$58</f>
        <v>0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-0.4850758522085053</v>
      </c>
      <c r="AM34" s="13">
        <f ca="1">SUMIF($L$4:$AL$4,"SUBTOTAL",$L$34:$AL$34)</f>
        <v>-1257.6561649576065</v>
      </c>
      <c r="AO34" s="20">
        <f ca="1">+'TUSD BE'!$T$34+'TUSD BE'!$AB$34+'TUSD BE'!$AD$34+'TUSD BE'!$AL$34</f>
        <v>2518.6152812578957</v>
      </c>
      <c r="AP34" s="20">
        <f ca="1">+'TUSD BE'!$T$34+'TUSD BE'!$AB$34+'TUSD BE'!$AD$34+'TUSD BE'!$AL$34</f>
        <v>2518.6152812578957</v>
      </c>
    </row>
    <row r="35" spans="1:42" ht="11.25" customHeight="1" x14ac:dyDescent="0.3">
      <c r="A35" s="95"/>
      <c r="B35" s="95"/>
      <c r="C35" s="95"/>
      <c r="D35" s="95"/>
      <c r="E35" s="95"/>
      <c r="F35" s="95"/>
      <c r="G35" s="18" t="s">
        <v>83</v>
      </c>
      <c r="H35" s="18" t="s">
        <v>70</v>
      </c>
      <c r="I35" s="18">
        <f>'MERCADO TUSD'!$U$32</f>
        <v>0</v>
      </c>
      <c r="J35" s="15"/>
      <c r="L35" s="13">
        <f>'TUSD BE'!$L$35*'TUSD BE'!$L$58</f>
        <v>0</v>
      </c>
      <c r="M35" s="13">
        <f>'TUSD BE'!$M$35*'TUSD BE'!$M$58</f>
        <v>-2.9988993480208115E-2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-0.81062627604647342</v>
      </c>
      <c r="R35" s="13">
        <f>'TUSD BE'!$R$35*'TUSD BE'!$R$58</f>
        <v>-0.13017792329232694</v>
      </c>
      <c r="S35" s="13">
        <f>'TUSD BE'!$R$35*'TUSD BE'!$S$58</f>
        <v>0</v>
      </c>
      <c r="T35" s="13">
        <f ca="1">SUM($L$35:$S$35)</f>
        <v>-0.97079319281900844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-48.665055142210555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-48.665055142210555</v>
      </c>
      <c r="AC35" s="13">
        <f>'TUSD BE'!$AC$35*'TUSD BE'!$AC$58</f>
        <v>-705.04951986258402</v>
      </c>
      <c r="AD35" s="13">
        <f>SUM($AC$35:$AC$35)</f>
        <v>-705.04951986258402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-0.4850758522085053</v>
      </c>
      <c r="AI35" s="13">
        <f>'TUSD BE'!$AI$35*'TUSD BE'!$AI$58</f>
        <v>0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-0.4850758522085053</v>
      </c>
      <c r="AM35" s="13">
        <f ca="1">SUMIF($L$4:$AL$4,"SUBTOTAL",$L$35:$AL$35)</f>
        <v>-755.17044404982209</v>
      </c>
      <c r="AO35" s="20">
        <f ca="1">+'TUSD BE'!$T$35+'TUSD BE'!$AB$35+'TUSD BE'!$AD$35+'TUSD BE'!$AL$35</f>
        <v>1567.2847774039728</v>
      </c>
      <c r="AP35" s="20">
        <f ca="1">+'TUSD BE'!$T$35+'TUSD BE'!$AB$35+'TUSD BE'!$AD$35+'TUSD BE'!$AL$35</f>
        <v>1567.2847774039728</v>
      </c>
    </row>
    <row r="36" spans="1:42" ht="11.25" customHeight="1" x14ac:dyDescent="0.3">
      <c r="A36" s="95"/>
      <c r="B36" s="95"/>
      <c r="C36" s="95"/>
      <c r="D36" s="95"/>
      <c r="E36" s="95"/>
      <c r="F36" s="95"/>
      <c r="G36" s="18" t="s">
        <v>72</v>
      </c>
      <c r="H36" s="18" t="s">
        <v>70</v>
      </c>
      <c r="I36" s="18">
        <f>'MERCADO TUSD'!$U$33</f>
        <v>0</v>
      </c>
      <c r="J36" s="15"/>
      <c r="L36" s="13">
        <f>'TUSD BE'!$L$36*'TUSD BE'!$L$58</f>
        <v>0</v>
      </c>
      <c r="M36" s="13">
        <f>'TUSD BE'!$M$36*'TUSD BE'!$M$58</f>
        <v>-2.9988993480208115E-2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-0.81062627604647342</v>
      </c>
      <c r="R36" s="13">
        <f>'TUSD BE'!$R$36*'TUSD BE'!$R$58</f>
        <v>-0.13017792329232694</v>
      </c>
      <c r="S36" s="13">
        <f>'TUSD BE'!$R$36*'TUSD BE'!$S$58</f>
        <v>0</v>
      </c>
      <c r="T36" s="13">
        <f ca="1">SUM($L$36:$S$36)</f>
        <v>-0.97079319281900844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-16.212641397387994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-16.212641397387994</v>
      </c>
      <c r="AC36" s="13">
        <f>'TUSD BE'!$AC$36*'TUSD BE'!$AC$58</f>
        <v>-235.01648401153514</v>
      </c>
      <c r="AD36" s="13">
        <f>SUM($AC$36:$AC$36)</f>
        <v>-235.01648401153514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-0.4850758522085053</v>
      </c>
      <c r="AI36" s="13">
        <f>'TUSD BE'!$AI$36*'TUSD BE'!$AI$58</f>
        <v>0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-0.4850758522085053</v>
      </c>
      <c r="AM36" s="13">
        <f ca="1">SUMIF($L$4:$AL$4,"SUBTOTAL",$L$36:$AL$36)</f>
        <v>-252.68499445395065</v>
      </c>
      <c r="AO36" s="20">
        <f ca="1">+'TUSD BE'!$T$36+'TUSD BE'!$AB$36+'TUSD BE'!$AD$36+'TUSD BE'!$AL$36</f>
        <v>615.95471732038084</v>
      </c>
      <c r="AP36" s="20">
        <f ca="1">+'TUSD BE'!$T$36+'TUSD BE'!$AB$36+'TUSD BE'!$AD$36+'TUSD BE'!$AL$36</f>
        <v>615.95471732038084</v>
      </c>
    </row>
    <row r="37" spans="1:42" ht="11.25" customHeight="1" x14ac:dyDescent="0.3">
      <c r="A37" s="95"/>
      <c r="B37" s="17" t="s">
        <v>23</v>
      </c>
      <c r="C37" s="17" t="s">
        <v>44</v>
      </c>
      <c r="D37" s="17" t="s">
        <v>86</v>
      </c>
      <c r="E37" s="17" t="s">
        <v>25</v>
      </c>
      <c r="F37" s="17" t="s">
        <v>25</v>
      </c>
      <c r="G37" s="18" t="s">
        <v>74</v>
      </c>
      <c r="H37" s="18" t="s">
        <v>70</v>
      </c>
      <c r="I37" s="18">
        <f>'MERCADO TUSD'!$U$34</f>
        <v>0</v>
      </c>
      <c r="J37" s="15"/>
      <c r="L37" s="13">
        <f>'TUSD BE'!$L$37*'TUSD BE'!$L$58</f>
        <v>0</v>
      </c>
      <c r="M37" s="13">
        <f>'TUSD BE'!$M$37*'TUSD BE'!$M$58</f>
        <v>-2.9988993480208115E-2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-0.81062627604647342</v>
      </c>
      <c r="R37" s="13">
        <f>'TUSD BE'!$R$37*'TUSD BE'!$R$58</f>
        <v>-0.13017792329232694</v>
      </c>
      <c r="S37" s="13">
        <f>'TUSD BE'!$R$37*'TUSD BE'!$S$58</f>
        <v>0</v>
      </c>
      <c r="T37" s="13">
        <f ca="1">SUM($L$37:$S$37)</f>
        <v>-0.97079319281900844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-27.496289597084527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-27.496289597084527</v>
      </c>
      <c r="AC37" s="13">
        <f>'TUSD BE'!$AC$37*'TUSD BE'!$AC$58</f>
        <v>-398.33323298043359</v>
      </c>
      <c r="AD37" s="13">
        <f>SUM($AC$37:$AC$37)</f>
        <v>-398.33323298043359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-0.4850758522085053</v>
      </c>
      <c r="AI37" s="13">
        <f>'TUSD BE'!$AI$37*'TUSD BE'!$AI$58</f>
        <v>0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-0.4850758522085053</v>
      </c>
      <c r="AM37" s="13">
        <f ca="1">SUMIF($L$4:$AL$4,"SUBTOTAL",$L$37:$AL$37)</f>
        <v>-427.28539162254566</v>
      </c>
      <c r="AO37" s="20">
        <f ca="1">+'TUSD BE'!$T$37+'TUSD BE'!$AB$37+'TUSD BE'!$AD$37+'TUSD BE'!$AL$37</f>
        <v>946.54582943602099</v>
      </c>
      <c r="AP37" s="20">
        <f ca="1">+'TUSD BE'!$T$37+'TUSD BE'!$AB$37+'TUSD BE'!$AD$37+'TUSD BE'!$AL$37</f>
        <v>946.54582943602099</v>
      </c>
    </row>
    <row r="38" spans="1:42" ht="11.25" customHeight="1" x14ac:dyDescent="0.3">
      <c r="A38" s="95"/>
      <c r="B38" s="95" t="s">
        <v>33</v>
      </c>
      <c r="C38" s="95" t="s">
        <v>44</v>
      </c>
      <c r="D38" s="95" t="s">
        <v>87</v>
      </c>
      <c r="E38" s="95" t="s">
        <v>25</v>
      </c>
      <c r="F38" s="95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>
        <f>'TUSD BE'!$L$38*'TUSD BE'!$L$58</f>
        <v>0</v>
      </c>
      <c r="M38" s="13">
        <f>'TUSD BE'!$M$38*'TUSD BE'!$M$58</f>
        <v>-2.9988993480208115E-2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-0.81062627604647342</v>
      </c>
      <c r="R38" s="13">
        <f>'TUSD BE'!$R$38*'TUSD BE'!$R$58</f>
        <v>-0.13017792329232694</v>
      </c>
      <c r="S38" s="13">
        <f>'TUSD BE'!$R$38*'TUSD BE'!$S$58</f>
        <v>0</v>
      </c>
      <c r="T38" s="13">
        <f ca="1">SUM($L$38:$S$38)</f>
        <v>-0.97079319281900844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-81.117468887033127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-81.117468887033127</v>
      </c>
      <c r="AC38" s="13">
        <f>'TUSD BE'!$AC$38*'TUSD BE'!$AC$58</f>
        <v>-1175.0828270255461</v>
      </c>
      <c r="AD38" s="13">
        <f>SUM($AC$38:$AC$38)</f>
        <v>-1175.0828270255461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-0.4850758522085053</v>
      </c>
      <c r="AI38" s="13">
        <f>'TUSD BE'!$AI$38*'TUSD BE'!$AI$58</f>
        <v>0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-0.4850758522085053</v>
      </c>
      <c r="AM38" s="13">
        <f ca="1">SUMIF($L$4:$AL$4,"SUBTOTAL",$L$38:$AL$38)</f>
        <v>-1257.6561649576065</v>
      </c>
      <c r="AO38" s="20">
        <f ca="1">+'TUSD BE'!$T$38+'TUSD BE'!$AB$38+'TUSD BE'!$AD$38+'TUSD BE'!$AL$38</f>
        <v>2518.6152812578957</v>
      </c>
      <c r="AP38" s="20">
        <f ca="1">+'TUSD BE'!$T$38+'TUSD BE'!$AB$38+'TUSD BE'!$AD$38+'TUSD BE'!$AL$38</f>
        <v>2518.6152812578957</v>
      </c>
    </row>
    <row r="39" spans="1:42" ht="11.25" customHeight="1" x14ac:dyDescent="0.3">
      <c r="A39" s="95"/>
      <c r="B39" s="95"/>
      <c r="C39" s="95"/>
      <c r="D39" s="95"/>
      <c r="E39" s="95"/>
      <c r="F39" s="95"/>
      <c r="G39" s="18" t="s">
        <v>83</v>
      </c>
      <c r="H39" s="18" t="s">
        <v>70</v>
      </c>
      <c r="I39" s="18">
        <f>'MERCADO TUSD'!$U$36</f>
        <v>0</v>
      </c>
      <c r="J39" s="15"/>
      <c r="L39" s="13">
        <f>'TUSD BE'!$L$39*'TUSD BE'!$L$58</f>
        <v>0</v>
      </c>
      <c r="M39" s="13">
        <f>'TUSD BE'!$M$39*'TUSD BE'!$M$58</f>
        <v>-2.9988993480208115E-2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-0.81062627604647342</v>
      </c>
      <c r="R39" s="13">
        <f>'TUSD BE'!$R$39*'TUSD BE'!$R$58</f>
        <v>-0.13017792329232694</v>
      </c>
      <c r="S39" s="13">
        <f>'TUSD BE'!$R$39*'TUSD BE'!$S$58</f>
        <v>0</v>
      </c>
      <c r="T39" s="13">
        <f ca="1">SUM($L$39:$S$39)</f>
        <v>-0.97079319281900844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-48.665055142210555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-48.665055142210555</v>
      </c>
      <c r="AC39" s="13">
        <f>'TUSD BE'!$AC$39*'TUSD BE'!$AC$58</f>
        <v>-705.04951986258402</v>
      </c>
      <c r="AD39" s="13">
        <f>SUM($AC$39:$AC$39)</f>
        <v>-705.04951986258402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-0.4850758522085053</v>
      </c>
      <c r="AI39" s="13">
        <f>'TUSD BE'!$AI$39*'TUSD BE'!$AI$58</f>
        <v>0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-0.4850758522085053</v>
      </c>
      <c r="AM39" s="13">
        <f ca="1">SUMIF($L$4:$AL$4,"SUBTOTAL",$L$39:$AL$39)</f>
        <v>-755.17044404982209</v>
      </c>
      <c r="AO39" s="20">
        <f ca="1">+'TUSD BE'!$T$39+'TUSD BE'!$AB$39+'TUSD BE'!$AD$39+'TUSD BE'!$AL$39</f>
        <v>1567.2847774039728</v>
      </c>
      <c r="AP39" s="20">
        <f ca="1">+'TUSD BE'!$T$39+'TUSD BE'!$AB$39+'TUSD BE'!$AD$39+'TUSD BE'!$AL$39</f>
        <v>1567.2847774039728</v>
      </c>
    </row>
    <row r="40" spans="1:42" ht="11.25" customHeight="1" x14ac:dyDescent="0.3">
      <c r="A40" s="95"/>
      <c r="B40" s="95"/>
      <c r="C40" s="95"/>
      <c r="D40" s="95"/>
      <c r="E40" s="95"/>
      <c r="F40" s="95"/>
      <c r="G40" s="18" t="s">
        <v>72</v>
      </c>
      <c r="H40" s="18" t="s">
        <v>70</v>
      </c>
      <c r="I40" s="18">
        <f>'MERCADO TUSD'!$U$37</f>
        <v>0</v>
      </c>
      <c r="J40" s="15"/>
      <c r="L40" s="13">
        <f>'TUSD BE'!$L$40*'TUSD BE'!$L$58</f>
        <v>0</v>
      </c>
      <c r="M40" s="13">
        <f>'TUSD BE'!$M$40*'TUSD BE'!$M$58</f>
        <v>-2.9988993480208115E-2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-0.81062627604647342</v>
      </c>
      <c r="R40" s="13">
        <f>'TUSD BE'!$R$40*'TUSD BE'!$R$58</f>
        <v>-0.13017792329232694</v>
      </c>
      <c r="S40" s="13">
        <f>'TUSD BE'!$R$40*'TUSD BE'!$S$58</f>
        <v>0</v>
      </c>
      <c r="T40" s="13">
        <f ca="1">SUM($L$40:$S$40)</f>
        <v>-0.97079319281900844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-16.212641397387994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-16.212641397387994</v>
      </c>
      <c r="AC40" s="13">
        <f>'TUSD BE'!$AC$40*'TUSD BE'!$AC$58</f>
        <v>-235.01648401153514</v>
      </c>
      <c r="AD40" s="13">
        <f>SUM($AC$40:$AC$40)</f>
        <v>-235.01648401153514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-0.4850758522085053</v>
      </c>
      <c r="AI40" s="13">
        <f>'TUSD BE'!$AI$40*'TUSD BE'!$AI$58</f>
        <v>0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-0.4850758522085053</v>
      </c>
      <c r="AM40" s="13">
        <f ca="1">SUMIF($L$4:$AL$4,"SUBTOTAL",$L$40:$AL$40)</f>
        <v>-252.68499445395065</v>
      </c>
      <c r="AO40" s="20">
        <f ca="1">+'TUSD BE'!$T$40+'TUSD BE'!$AB$40+'TUSD BE'!$AD$40+'TUSD BE'!$AL$40</f>
        <v>615.95471732038084</v>
      </c>
      <c r="AP40" s="20">
        <f ca="1">+'TUSD BE'!$T$40+'TUSD BE'!$AB$40+'TUSD BE'!$AD$40+'TUSD BE'!$AL$40</f>
        <v>615.95471732038084</v>
      </c>
    </row>
    <row r="41" spans="1:42" ht="11.25" customHeight="1" x14ac:dyDescent="0.3">
      <c r="A41" s="95"/>
      <c r="B41" s="17" t="s">
        <v>23</v>
      </c>
      <c r="C41" s="17" t="s">
        <v>44</v>
      </c>
      <c r="D41" s="17" t="s">
        <v>87</v>
      </c>
      <c r="E41" s="17" t="s">
        <v>25</v>
      </c>
      <c r="F41" s="17" t="s">
        <v>25</v>
      </c>
      <c r="G41" s="18" t="s">
        <v>74</v>
      </c>
      <c r="H41" s="18" t="s">
        <v>70</v>
      </c>
      <c r="I41" s="18">
        <f>'MERCADO TUSD'!$U$38</f>
        <v>0</v>
      </c>
      <c r="J41" s="15"/>
      <c r="L41" s="13">
        <f>'TUSD BE'!$L$41*'TUSD BE'!$L$58</f>
        <v>0</v>
      </c>
      <c r="M41" s="13">
        <f>'TUSD BE'!$M$41*'TUSD BE'!$M$58</f>
        <v>-2.9988993480208115E-2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-0.81062627604647342</v>
      </c>
      <c r="R41" s="13">
        <f>'TUSD BE'!$R$41*'TUSD BE'!$R$58</f>
        <v>-0.13017792329232694</v>
      </c>
      <c r="S41" s="13">
        <f>'TUSD BE'!$R$41*'TUSD BE'!$S$58</f>
        <v>0</v>
      </c>
      <c r="T41" s="13">
        <f ca="1">SUM($L$41:$S$41)</f>
        <v>-0.97079319281900844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-27.496289597084527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-27.496289597084527</v>
      </c>
      <c r="AC41" s="13">
        <f>'TUSD BE'!$AC$41*'TUSD BE'!$AC$58</f>
        <v>-398.33323298043359</v>
      </c>
      <c r="AD41" s="13">
        <f>SUM($AC$41:$AC$41)</f>
        <v>-398.33323298043359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-0.4850758522085053</v>
      </c>
      <c r="AI41" s="13">
        <f>'TUSD BE'!$AI$41*'TUSD BE'!$AI$58</f>
        <v>0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-0.4850758522085053</v>
      </c>
      <c r="AM41" s="13">
        <f ca="1">SUMIF($L$4:$AL$4,"SUBTOTAL",$L$41:$AL$41)</f>
        <v>-427.28539162254566</v>
      </c>
      <c r="AO41" s="20">
        <f ca="1">+'TUSD BE'!$T$41+'TUSD BE'!$AB$41+'TUSD BE'!$AD$41+'TUSD BE'!$AL$41</f>
        <v>946.54582943602099</v>
      </c>
      <c r="AP41" s="20">
        <f ca="1">+'TUSD BE'!$T$41+'TUSD BE'!$AB$41+'TUSD BE'!$AD$41+'TUSD BE'!$AL$41</f>
        <v>946.54582943602099</v>
      </c>
    </row>
    <row r="42" spans="1:42" ht="11.25" customHeight="1" x14ac:dyDescent="0.3">
      <c r="A42" s="95"/>
      <c r="B42" s="95" t="s">
        <v>85</v>
      </c>
      <c r="C42" s="95" t="s">
        <v>44</v>
      </c>
      <c r="D42" s="17" t="s">
        <v>25</v>
      </c>
      <c r="E42" s="17" t="s">
        <v>25</v>
      </c>
      <c r="F42" s="17" t="s">
        <v>25</v>
      </c>
      <c r="G42" s="18" t="s">
        <v>74</v>
      </c>
      <c r="H42" s="18" t="s">
        <v>70</v>
      </c>
      <c r="I42" s="18">
        <f>'MERCADO TUSD'!$U$39</f>
        <v>0</v>
      </c>
      <c r="J42" s="15"/>
      <c r="L42" s="13">
        <f>'TUSD BE'!$L$42*'TUSD BE'!$L$58</f>
        <v>0</v>
      </c>
      <c r="M42" s="13">
        <f>'TUSD BE'!$M$42*'TUSD BE'!$M$58</f>
        <v>-2.9988993480208115E-2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-0.81062627604647342</v>
      </c>
      <c r="R42" s="13">
        <f>'TUSD BE'!$R$42*'TUSD BE'!$R$58</f>
        <v>-0.13017792329232694</v>
      </c>
      <c r="S42" s="13">
        <f>'TUSD BE'!$R$42*'TUSD BE'!$S$58</f>
        <v>0</v>
      </c>
      <c r="T42" s="13">
        <f ca="1">SUM($L$42:$S$42)</f>
        <v>-0.97079319281900844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-27.496289597084527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-27.496289597084527</v>
      </c>
      <c r="AC42" s="13">
        <f>'TUSD BE'!$AC$42*'TUSD BE'!$AC$58</f>
        <v>-398.33323298043359</v>
      </c>
      <c r="AD42" s="13">
        <f>SUM($AC$42:$AC$42)</f>
        <v>-398.33323298043359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-0.4850758522085053</v>
      </c>
      <c r="AI42" s="13">
        <f>'TUSD BE'!$AI$42*'TUSD BE'!$AI$58</f>
        <v>0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-0.4850758522085053</v>
      </c>
      <c r="AM42" s="13">
        <f ca="1">SUMIF($L$4:$AL$4,"SUBTOTAL",$L$42:$AL$42)</f>
        <v>-427.28539162254566</v>
      </c>
      <c r="AO42" s="20">
        <f ca="1">+'TUSD BE'!$T$42+'TUSD BE'!$AB$42+'TUSD BE'!$AD$42+'TUSD BE'!$AL$42</f>
        <v>946.54582943602099</v>
      </c>
      <c r="AP42" s="20">
        <f ca="1">+'TUSD BE'!$T$42+'TUSD BE'!$AB$42+'TUSD BE'!$AD$42+'TUSD BE'!$AL$42</f>
        <v>946.54582943602099</v>
      </c>
    </row>
    <row r="43" spans="1:42" ht="11.25" customHeight="1" x14ac:dyDescent="0.3">
      <c r="A43" s="95"/>
      <c r="B43" s="95"/>
      <c r="C43" s="95"/>
      <c r="D43" s="17" t="s">
        <v>86</v>
      </c>
      <c r="E43" s="17" t="s">
        <v>25</v>
      </c>
      <c r="F43" s="17" t="s">
        <v>25</v>
      </c>
      <c r="G43" s="18" t="s">
        <v>74</v>
      </c>
      <c r="H43" s="18" t="s">
        <v>70</v>
      </c>
      <c r="I43" s="18">
        <f>'MERCADO TUSD'!$U$40</f>
        <v>0</v>
      </c>
      <c r="J43" s="15"/>
      <c r="L43" s="13">
        <f>'TUSD BE'!$L$43*'TUSD BE'!$L$58</f>
        <v>0</v>
      </c>
      <c r="M43" s="13">
        <f>'TUSD BE'!$M$43*'TUSD BE'!$M$58</f>
        <v>-2.9988993480208115E-2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-0.81062627604647342</v>
      </c>
      <c r="R43" s="13">
        <f>'TUSD BE'!$R$43*'TUSD BE'!$R$58</f>
        <v>-0.13017792329232694</v>
      </c>
      <c r="S43" s="13">
        <f>'TUSD BE'!$R$43*'TUSD BE'!$S$58</f>
        <v>0</v>
      </c>
      <c r="T43" s="13">
        <f ca="1">SUM($L$43:$S$43)</f>
        <v>-0.97079319281900844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-27.496289597084527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-27.496289597084527</v>
      </c>
      <c r="AC43" s="13">
        <f>'TUSD BE'!$AC$43*'TUSD BE'!$AC$58</f>
        <v>-398.33323298043359</v>
      </c>
      <c r="AD43" s="13">
        <f>SUM($AC$43:$AC$43)</f>
        <v>-398.33323298043359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-0.4850758522085053</v>
      </c>
      <c r="AI43" s="13">
        <f>'TUSD BE'!$AI$43*'TUSD BE'!$AI$58</f>
        <v>0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-0.4850758522085053</v>
      </c>
      <c r="AM43" s="13">
        <f ca="1">SUMIF($L$4:$AL$4,"SUBTOTAL",$L$43:$AL$43)</f>
        <v>-427.28539162254566</v>
      </c>
      <c r="AO43" s="20">
        <f ca="1">+'TUSD BE'!$T$43+'TUSD BE'!$AB$43+'TUSD BE'!$AD$43+'TUSD BE'!$AL$43</f>
        <v>946.54582943602099</v>
      </c>
      <c r="AP43" s="20">
        <f ca="1">+'TUSD BE'!$T$43+'TUSD BE'!$AB$43+'TUSD BE'!$AD$43+'TUSD BE'!$AL$43</f>
        <v>946.54582943602099</v>
      </c>
    </row>
    <row r="44" spans="1:42" ht="11.25" customHeight="1" x14ac:dyDescent="0.3">
      <c r="A44" s="95"/>
      <c r="B44" s="95"/>
      <c r="C44" s="95"/>
      <c r="D44" s="17" t="s">
        <v>87</v>
      </c>
      <c r="E44" s="17" t="s">
        <v>25</v>
      </c>
      <c r="F44" s="17" t="s">
        <v>25</v>
      </c>
      <c r="G44" s="18" t="s">
        <v>74</v>
      </c>
      <c r="H44" s="18" t="s">
        <v>70</v>
      </c>
      <c r="I44" s="18">
        <f>'MERCADO TUSD'!$U$41</f>
        <v>0</v>
      </c>
      <c r="J44" s="15"/>
      <c r="L44" s="13">
        <f>'TUSD BE'!$L$44*'TUSD BE'!$L$58</f>
        <v>0</v>
      </c>
      <c r="M44" s="13">
        <f>'TUSD BE'!$M$44*'TUSD BE'!$M$58</f>
        <v>-2.9988993480208115E-2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-0.81062627604647342</v>
      </c>
      <c r="R44" s="13">
        <f>'TUSD BE'!$R$44*'TUSD BE'!$R$58</f>
        <v>-0.13017792329232694</v>
      </c>
      <c r="S44" s="13">
        <f>'TUSD BE'!$R$44*'TUSD BE'!$S$58</f>
        <v>0</v>
      </c>
      <c r="T44" s="13">
        <f ca="1">SUM($L$44:$S$44)</f>
        <v>-0.97079319281900844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-27.496289597084527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-27.496289597084527</v>
      </c>
      <c r="AC44" s="13">
        <f>'TUSD BE'!$AC$44*'TUSD BE'!$AC$58</f>
        <v>-398.33323298043359</v>
      </c>
      <c r="AD44" s="13">
        <f>SUM($AC$44:$AC$44)</f>
        <v>-398.33323298043359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-0.4850758522085053</v>
      </c>
      <c r="AI44" s="13">
        <f>'TUSD BE'!$AI$44*'TUSD BE'!$AI$58</f>
        <v>0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-0.4850758522085053</v>
      </c>
      <c r="AM44" s="13">
        <f ca="1">SUMIF($L$4:$AL$4,"SUBTOTAL",$L$44:$AL$44)</f>
        <v>-427.28539162254566</v>
      </c>
      <c r="AO44" s="20">
        <f ca="1">+'TUSD BE'!$T$44+'TUSD BE'!$AB$44+'TUSD BE'!$AD$44+'TUSD BE'!$AL$44</f>
        <v>946.54582943602099</v>
      </c>
      <c r="AP44" s="20">
        <f ca="1">+'TUSD BE'!$T$44+'TUSD BE'!$AB$44+'TUSD BE'!$AD$44+'TUSD BE'!$AL$44</f>
        <v>946.54582943602099</v>
      </c>
    </row>
    <row r="45" spans="1:42" ht="11.25" customHeight="1" x14ac:dyDescent="0.3">
      <c r="A45" s="95" t="s">
        <v>35</v>
      </c>
      <c r="B45" s="95" t="s">
        <v>33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71</v>
      </c>
      <c r="H45" s="18" t="s">
        <v>70</v>
      </c>
      <c r="I45" s="18">
        <f>'MERCADO TUSD'!$U$42</f>
        <v>0.746</v>
      </c>
      <c r="J45" s="15"/>
      <c r="L45" s="13">
        <f>'TUSD BE'!$L$45*'TUSD BE'!$L$58</f>
        <v>0</v>
      </c>
      <c r="M45" s="13">
        <f>'TUSD BE'!$M$45*'TUSD BE'!$M$58</f>
        <v>-2.9988993480208115E-2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-0.81062627604647342</v>
      </c>
      <c r="R45" s="13">
        <f>'TUSD BE'!$R$45*'TUSD BE'!$R$58</f>
        <v>-0.13017792329232694</v>
      </c>
      <c r="S45" s="13">
        <f>'TUSD BE'!$R$45*'TUSD BE'!$S$58</f>
        <v>0</v>
      </c>
      <c r="T45" s="13">
        <f ca="1">SUM($L$45:$S$45)</f>
        <v>-0.97079319281900844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-94.885982995272087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-94.885982995272087</v>
      </c>
      <c r="AC45" s="13">
        <f>'TUSD BE'!$AC$45*'TUSD BE'!$AC$58</f>
        <v>-1374.2490365478925</v>
      </c>
      <c r="AD45" s="13">
        <f>SUM($AC$45:$AC$45)</f>
        <v>-1374.2490365478925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-0.4850758522085053</v>
      </c>
      <c r="AI45" s="13">
        <f>'TUSD BE'!$AI$45*'TUSD BE'!$AI$58</f>
        <v>0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-0.4850758522085053</v>
      </c>
      <c r="AM45" s="13">
        <f ca="1">SUMIF($L$4:$AL$4,"SUBTOTAL",$L$45:$AL$45)</f>
        <v>-1470.590888588192</v>
      </c>
      <c r="AO45" s="20">
        <f ca="1">+'TUSD BE'!$T$45+'TUSD BE'!$AB$45+'TUSD BE'!$AD$45+'TUSD BE'!$AL$45</f>
        <v>2921.819073965069</v>
      </c>
      <c r="AP45" s="20">
        <f ca="1">+'TUSD BE'!$T$45+'TUSD BE'!$AB$45+'TUSD BE'!$AD$45+'TUSD BE'!$AL$45</f>
        <v>2921.819073965069</v>
      </c>
    </row>
    <row r="46" spans="1:42" ht="11.25" customHeight="1" x14ac:dyDescent="0.3">
      <c r="A46" s="95"/>
      <c r="B46" s="95"/>
      <c r="C46" s="95"/>
      <c r="D46" s="95"/>
      <c r="E46" s="95"/>
      <c r="F46" s="95"/>
      <c r="G46" s="18" t="s">
        <v>83</v>
      </c>
      <c r="H46" s="18" t="s">
        <v>70</v>
      </c>
      <c r="I46" s="18">
        <f>'MERCADO TUSD'!$U$43</f>
        <v>0.45699999999999996</v>
      </c>
      <c r="J46" s="15"/>
      <c r="L46" s="13">
        <f>'TUSD BE'!$L$46*'TUSD BE'!$L$58</f>
        <v>0</v>
      </c>
      <c r="M46" s="13">
        <f>'TUSD BE'!$M$46*'TUSD BE'!$M$58</f>
        <v>-2.9988993480208115E-2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-0.81062627604647342</v>
      </c>
      <c r="R46" s="13">
        <f>'TUSD BE'!$R$46*'TUSD BE'!$R$58</f>
        <v>-0.13017792329232694</v>
      </c>
      <c r="S46" s="13">
        <f>'TUSD BE'!$R$46*'TUSD BE'!$S$58</f>
        <v>0</v>
      </c>
      <c r="T46" s="13">
        <f ca="1">SUM($L$46:$S$46)</f>
        <v>-0.97079319281900844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-56.920733197712266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-56.920733197712266</v>
      </c>
      <c r="AC46" s="13">
        <f>'TUSD BE'!$AC$46*'TUSD BE'!$AC$58</f>
        <v>-824.54932696956575</v>
      </c>
      <c r="AD46" s="13">
        <f>SUM($AC$46:$AC$46)</f>
        <v>-824.54932696956575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-0.4850758522085053</v>
      </c>
      <c r="AI46" s="13">
        <f>'TUSD BE'!$AI$46*'TUSD BE'!$AI$58</f>
        <v>0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-0.4850758522085053</v>
      </c>
      <c r="AM46" s="13">
        <f ca="1">SUMIF($L$4:$AL$4,"SUBTOTAL",$L$46:$AL$46)</f>
        <v>-882.9259292123055</v>
      </c>
      <c r="AO46" s="20">
        <f ca="1">+'TUSD BE'!$T$46+'TUSD BE'!$AB$46+'TUSD BE'!$AD$46+'TUSD BE'!$AL$46</f>
        <v>1809.1766438829093</v>
      </c>
      <c r="AP46" s="20">
        <f ca="1">+'TUSD BE'!$T$46+'TUSD BE'!$AB$46+'TUSD BE'!$AD$46+'TUSD BE'!$AL$46</f>
        <v>1809.1766438829093</v>
      </c>
    </row>
    <row r="47" spans="1:42" ht="11.25" customHeight="1" x14ac:dyDescent="0.3">
      <c r="A47" s="95"/>
      <c r="B47" s="95"/>
      <c r="C47" s="95"/>
      <c r="D47" s="95"/>
      <c r="E47" s="95"/>
      <c r="F47" s="95"/>
      <c r="G47" s="18" t="s">
        <v>72</v>
      </c>
      <c r="H47" s="18" t="s">
        <v>70</v>
      </c>
      <c r="I47" s="18">
        <f>'MERCADO TUSD'!$U$44</f>
        <v>6.4780000000000006</v>
      </c>
      <c r="J47" s="15"/>
      <c r="L47" s="13">
        <f>'TUSD BE'!$L$47*'TUSD BE'!$L$58</f>
        <v>0</v>
      </c>
      <c r="M47" s="13">
        <f>'TUSD BE'!$M$47*'TUSD BE'!$M$58</f>
        <v>-2.9988993480208115E-2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-0.81062627604647342</v>
      </c>
      <c r="R47" s="13">
        <f>'TUSD BE'!$R$47*'TUSD BE'!$R$58</f>
        <v>-0.13017792329232694</v>
      </c>
      <c r="S47" s="13">
        <f>'TUSD BE'!$R$47*'TUSD BE'!$S$58</f>
        <v>0</v>
      </c>
      <c r="T47" s="13">
        <f ca="1">SUM($L$47:$S$47)</f>
        <v>-0.97079319281900844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-18.969048875175737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-18.969048875175737</v>
      </c>
      <c r="AC47" s="13">
        <f>'TUSD BE'!$AC$47*'TUSD BE'!$AC$58</f>
        <v>-274.85009218708774</v>
      </c>
      <c r="AD47" s="13">
        <f>SUM($AC$47:$AC$47)</f>
        <v>-274.85009218708774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-0.4850758522085053</v>
      </c>
      <c r="AI47" s="13">
        <f>'TUSD BE'!$AI$47*'TUSD BE'!$AI$58</f>
        <v>0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-0.4850758522085053</v>
      </c>
      <c r="AM47" s="13">
        <f ca="1">SUMIF($L$4:$AL$4,"SUBTOTAL",$L$47:$AL$47)</f>
        <v>-295.275010107291</v>
      </c>
      <c r="AO47" s="20">
        <f ca="1">+'TUSD BE'!$T$47+'TUSD BE'!$AB$47+'TUSD BE'!$AD$47+'TUSD BE'!$AL$47</f>
        <v>696.61128676156443</v>
      </c>
      <c r="AP47" s="20">
        <f ca="1">+'TUSD BE'!$T$47+'TUSD BE'!$AB$47+'TUSD BE'!$AD$47+'TUSD BE'!$AL$47</f>
        <v>696.61128676156443</v>
      </c>
    </row>
    <row r="48" spans="1:42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74</v>
      </c>
      <c r="H48" s="18" t="s">
        <v>70</v>
      </c>
      <c r="I48" s="18">
        <f>'MERCADO TUSD'!$U$45</f>
        <v>2717.4190000000003</v>
      </c>
      <c r="J48" s="15"/>
      <c r="L48" s="13">
        <f>'TUSD BE'!$L$48*'TUSD BE'!$L$58</f>
        <v>0</v>
      </c>
      <c r="M48" s="13">
        <f>'TUSD BE'!$M$48*'TUSD BE'!$M$58</f>
        <v>-2.9988993480208115E-2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-0.81062627604647342</v>
      </c>
      <c r="R48" s="13">
        <f>'TUSD BE'!$R$48*'TUSD BE'!$R$58</f>
        <v>-0.13017792329232694</v>
      </c>
      <c r="S48" s="13">
        <f>'TUSD BE'!$R$48*'TUSD BE'!$S$58</f>
        <v>0</v>
      </c>
      <c r="T48" s="13">
        <f ca="1">SUM($L$48:$S$48)</f>
        <v>-0.97079319281900844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-27.496289597084527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-27.496289597084527</v>
      </c>
      <c r="AC48" s="13">
        <f>'TUSD BE'!$AC$48*'TUSD BE'!$AC$58</f>
        <v>-398.33323298043359</v>
      </c>
      <c r="AD48" s="13">
        <f>SUM($AC$48:$AC$48)</f>
        <v>-398.33323298043359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-0.4850758522085053</v>
      </c>
      <c r="AI48" s="13">
        <f>'TUSD BE'!$AI$48*'TUSD BE'!$AI$58</f>
        <v>0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-0.4850758522085053</v>
      </c>
      <c r="AM48" s="13">
        <f ca="1">SUMIF($L$4:$AL$4,"SUBTOTAL",$L$48:$AL$48)</f>
        <v>-427.28539162254566</v>
      </c>
      <c r="AO48" s="20">
        <f ca="1">+'TUSD BE'!$T$48+'TUSD BE'!$AB$48+'TUSD BE'!$AD$48+'TUSD BE'!$AL$48</f>
        <v>946.54582943602099</v>
      </c>
      <c r="AP48" s="20">
        <f ca="1">+'TUSD BE'!$T$48+'TUSD BE'!$AB$48+'TUSD BE'!$AD$48+'TUSD BE'!$AL$48</f>
        <v>946.54582943602099</v>
      </c>
    </row>
    <row r="49" spans="1:42" ht="11.25" customHeight="1" x14ac:dyDescent="0.3">
      <c r="A49" s="95"/>
      <c r="B49" s="17" t="s">
        <v>85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74</v>
      </c>
      <c r="H49" s="18" t="s">
        <v>70</v>
      </c>
      <c r="I49" s="18">
        <f>'MERCADO TUSD'!$U$46</f>
        <v>0</v>
      </c>
      <c r="J49" s="15"/>
      <c r="L49" s="13">
        <f>'TUSD BE'!$L$49*'TUSD BE'!$L$58</f>
        <v>0</v>
      </c>
      <c r="M49" s="13">
        <f>'TUSD BE'!$M$49*'TUSD BE'!$M$58</f>
        <v>-2.9988993480208115E-2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-0.81062627604647342</v>
      </c>
      <c r="R49" s="13">
        <f>'TUSD BE'!$R$49*'TUSD BE'!$R$58</f>
        <v>-0.13017792329232694</v>
      </c>
      <c r="S49" s="13">
        <f>'TUSD BE'!$R$49*'TUSD BE'!$S$58</f>
        <v>0</v>
      </c>
      <c r="T49" s="13">
        <f ca="1">SUM($L$49:$S$49)</f>
        <v>-0.97079319281900844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-27.496289597084527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-27.496289597084527</v>
      </c>
      <c r="AC49" s="13">
        <f>'TUSD BE'!$AC$49*'TUSD BE'!$AC$58</f>
        <v>-398.33323298043359</v>
      </c>
      <c r="AD49" s="13">
        <f>SUM($AC$49:$AC$49)</f>
        <v>-398.33323298043359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-0.4850758522085053</v>
      </c>
      <c r="AI49" s="13">
        <f>'TUSD BE'!$AI$49*'TUSD BE'!$AI$58</f>
        <v>0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-0.4850758522085053</v>
      </c>
      <c r="AM49" s="13">
        <f ca="1">SUMIF($L$4:$AL$4,"SUBTOTAL",$L$49:$AL$49)</f>
        <v>-427.28539162254566</v>
      </c>
      <c r="AO49" s="20">
        <f ca="1">+'TUSD BE'!$T$49+'TUSD BE'!$AB$49+'TUSD BE'!$AD$49+'TUSD BE'!$AL$49</f>
        <v>946.54582943602099</v>
      </c>
      <c r="AP49" s="20">
        <f ca="1">+'TUSD BE'!$T$49+'TUSD BE'!$AB$49+'TUSD BE'!$AD$49+'TUSD BE'!$AL$49</f>
        <v>946.54582943602099</v>
      </c>
    </row>
    <row r="50" spans="1:42" ht="11.25" customHeight="1" x14ac:dyDescent="0.3">
      <c r="A50" s="95" t="s">
        <v>46</v>
      </c>
      <c r="B50" s="95" t="s">
        <v>23</v>
      </c>
      <c r="C50" s="95" t="s">
        <v>47</v>
      </c>
      <c r="D50" s="17" t="s">
        <v>48</v>
      </c>
      <c r="E50" s="17" t="s">
        <v>25</v>
      </c>
      <c r="F50" s="17" t="s">
        <v>25</v>
      </c>
      <c r="G50" s="18" t="s">
        <v>74</v>
      </c>
      <c r="H50" s="18" t="s">
        <v>70</v>
      </c>
      <c r="I50" s="18">
        <f>'MERCADO TUSD'!$U$47</f>
        <v>2495.3550000000005</v>
      </c>
      <c r="J50" s="15"/>
      <c r="L50" s="13">
        <f>'TUSD BE'!$L$50*'TUSD BE'!$L$58</f>
        <v>0</v>
      </c>
      <c r="M50" s="13">
        <f>'TUSD BE'!$M$50*'TUSD BE'!$M$58</f>
        <v>-1.6493946414114464E-2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-0.44584445182556037</v>
      </c>
      <c r="R50" s="13">
        <f>'TUSD BE'!$R$50*'TUSD BE'!$R$58</f>
        <v>-7.1597857810779819E-2</v>
      </c>
      <c r="S50" s="13">
        <f>'TUSD BE'!$R$50*'TUSD BE'!$S$58</f>
        <v>0</v>
      </c>
      <c r="T50" s="13">
        <f ca="1">SUM($L$50:$S$50)</f>
        <v>-0.53393625605045458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-15.12295927839649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-15.12295927839649</v>
      </c>
      <c r="AC50" s="13">
        <f>'TUSD BE'!$AC$50*'TUSD BE'!$AC$58</f>
        <v>-219.0832781392385</v>
      </c>
      <c r="AD50" s="13">
        <f>SUM($AC$50:$AC$50)</f>
        <v>-219.0832781392385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-0.26679171871467794</v>
      </c>
      <c r="AI50" s="13">
        <f>'TUSD BE'!$AI$50*'TUSD BE'!$AI$58</f>
        <v>0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-0.26679171871467794</v>
      </c>
      <c r="AM50" s="13">
        <f ca="1">SUMIF($L$4:$AL$4,"SUBTOTAL",$L$50:$AL$50)</f>
        <v>-235.0069653924001</v>
      </c>
      <c r="AO50" s="20">
        <f ca="1">+'TUSD BE'!$T$50+'TUSD BE'!$AB$50+'TUSD BE'!$AD$50+'TUSD BE'!$AL$50</f>
        <v>520.60020618981162</v>
      </c>
      <c r="AP50" s="20">
        <f ca="1">+'TUSD BE'!$T$50+'TUSD BE'!$AB$50+'TUSD BE'!$AD$50+'TUSD BE'!$AL$50</f>
        <v>520.60020618981162</v>
      </c>
    </row>
    <row r="51" spans="1:42" ht="11.25" customHeight="1" x14ac:dyDescent="0.3">
      <c r="A51" s="95"/>
      <c r="B51" s="95"/>
      <c r="C51" s="95"/>
      <c r="D51" s="18" t="s">
        <v>49</v>
      </c>
      <c r="E51" s="18" t="s">
        <v>25</v>
      </c>
      <c r="F51" s="18" t="s">
        <v>25</v>
      </c>
      <c r="G51" s="18" t="s">
        <v>74</v>
      </c>
      <c r="H51" s="18" t="s">
        <v>70</v>
      </c>
      <c r="I51" s="18">
        <f>'MERCADO TUSD'!$U$48</f>
        <v>1567.3130000000001</v>
      </c>
      <c r="J51" s="15"/>
      <c r="L51" s="13">
        <f>'TUSD BE'!$L$51*'TUSD BE'!$L$58</f>
        <v>0</v>
      </c>
      <c r="M51" s="13">
        <f>'TUSD BE'!$M$51*'TUSD BE'!$M$58</f>
        <v>-1.7993396088124867E-2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-0.48637576562788398</v>
      </c>
      <c r="R51" s="13">
        <f>'TUSD BE'!$R$51*'TUSD BE'!$R$58</f>
        <v>-7.8106753975396154E-2</v>
      </c>
      <c r="S51" s="13">
        <f>'TUSD BE'!$R$51*'TUSD BE'!$S$58</f>
        <v>0</v>
      </c>
      <c r="T51" s="13">
        <f ca="1">SUM($L$51:$S$51)</f>
        <v>-0.582475915691405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-16.497773758250716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-16.497773758250716</v>
      </c>
      <c r="AC51" s="13">
        <f>'TUSD BE'!$AC$51*'TUSD BE'!$AC$58</f>
        <v>-238.99993978826015</v>
      </c>
      <c r="AD51" s="13">
        <f>SUM($AC$51:$AC$51)</f>
        <v>-238.99993978826015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-0.2910455113251032</v>
      </c>
      <c r="AI51" s="13">
        <f>'TUSD BE'!$AI$51*'TUSD BE'!$AI$58</f>
        <v>0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-0.2910455113251032</v>
      </c>
      <c r="AM51" s="13">
        <f ca="1">SUMIF($L$4:$AL$4,"SUBTOTAL",$L$51:$AL$51)</f>
        <v>-256.37123497352735</v>
      </c>
      <c r="AO51" s="20">
        <f ca="1">+'TUSD BE'!$T$51+'TUSD BE'!$AB$51+'TUSD BE'!$AD$51+'TUSD BE'!$AL$51</f>
        <v>567.92749766161262</v>
      </c>
      <c r="AP51" s="20">
        <f ca="1">+'TUSD BE'!$T$51+'TUSD BE'!$AB$51+'TUSD BE'!$AD$51+'TUSD BE'!$AL$51</f>
        <v>567.92749766161262</v>
      </c>
    </row>
    <row r="53" spans="1:42" ht="11.25" customHeight="1" x14ac:dyDescent="0.3">
      <c r="K53" s="16" t="s">
        <v>609</v>
      </c>
      <c r="L53" s="13">
        <f>SUMPRODUCT($I$5:$I51,$L$5:$L51)</f>
        <v>0</v>
      </c>
      <c r="M53" s="13">
        <f>SUMPRODUCT($I$5:$I51,$M$5:$M51)</f>
        <v>-1345.2444493490761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-38909.608864024842</v>
      </c>
      <c r="R53" s="13">
        <f>SUMPRODUCT($I$5:$I51,$R$5:$R51)</f>
        <v>-6436.721755292202</v>
      </c>
      <c r="S53" s="13">
        <f>SUMPRODUCT($I$5:$I51,$S$5:$S51)</f>
        <v>0</v>
      </c>
      <c r="T53" s="13">
        <f ca="1">SUMPRODUCT($I$5:$I51,$T$5:$T51)</f>
        <v>-46691.575068666134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-1289202.8707747676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-1289202.8707747676</v>
      </c>
      <c r="AC53" s="13">
        <f>SUMPRODUCT($I$5:$I51,$AC$5:$AC51)</f>
        <v>-17867394.38325737</v>
      </c>
      <c r="AD53" s="13">
        <f>SUMPRODUCT($I$5:$I51,$AD$5:$AD51)</f>
        <v>-17867394.38325737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-21537.922799824169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-21537.922799824169</v>
      </c>
      <c r="AM53" s="13">
        <f ca="1">SUMPRODUCT($I$5:$I51,$AM$5:$AM51)</f>
        <v>-19224826.751900621</v>
      </c>
      <c r="AO53" s="18">
        <f ca="1">SUMPRODUCT($I$5:$I51,$AO$5:$AO51)</f>
        <v>43116255.993534878</v>
      </c>
      <c r="AP53" s="18">
        <f ca="1">SUMPRODUCT($I$5:$I51,$AP$5:$AP51)</f>
        <v>43116255.993534878</v>
      </c>
    </row>
    <row r="54" spans="1:42" ht="11.25" customHeight="1" x14ac:dyDescent="0.3">
      <c r="K54" s="16" t="s">
        <v>541</v>
      </c>
      <c r="L54" s="13">
        <f>'TR TUSD'!$L$56</f>
        <v>0</v>
      </c>
      <c r="M54" s="13">
        <f>'TR TUSD'!$M$56</f>
        <v>118146.05586998828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4445152.1190699972</v>
      </c>
      <c r="R54" s="13">
        <f>'TR TUSD'!$R$56</f>
        <v>723391.08677999966</v>
      </c>
      <c r="S54" s="13">
        <f>'TR TUSD'!$S$56</f>
        <v>0</v>
      </c>
      <c r="T54" s="13">
        <f>'TR TUSD'!$T$56</f>
        <v>5286689.2617199849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7250869.556640001</v>
      </c>
      <c r="Z54" s="13">
        <f>'TR TUSD'!$Z$56</f>
        <v>0</v>
      </c>
      <c r="AA54" s="13">
        <f>'TR TUSD'!$AA$56</f>
        <v>0</v>
      </c>
      <c r="AB54" s="13">
        <f>'TR TUSD'!$AB$56</f>
        <v>7250869.556640001</v>
      </c>
      <c r="AC54" s="13">
        <f>'TR TUSD'!$AC$56</f>
        <v>29224737.75</v>
      </c>
      <c r="AD54" s="13">
        <f>'TR TUSD'!$AD$56</f>
        <v>29224737.75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1353959.4251748875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1353959.4251748875</v>
      </c>
      <c r="AM54" s="13">
        <f>'TUSD BE'!$AM$54</f>
        <v>43116255.99353487</v>
      </c>
      <c r="AO54" s="18">
        <f>$AE$55</f>
        <v>0</v>
      </c>
      <c r="AP54" s="18">
        <f>$AF$55</f>
        <v>0</v>
      </c>
    </row>
    <row r="55" spans="1:42" ht="11.25" customHeight="1" x14ac:dyDescent="0.3">
      <c r="K55" s="16" t="s">
        <v>542</v>
      </c>
      <c r="L55" s="13">
        <f>CUSTOS!$E$2</f>
        <v>0</v>
      </c>
      <c r="M55" s="13">
        <f>CUSTOS!$E$3</f>
        <v>-1345.2444493490764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-38909.608864024849</v>
      </c>
      <c r="R55" s="13">
        <f>CUSTOS!$E$8</f>
        <v>-6436.7217552921993</v>
      </c>
      <c r="S55" s="13">
        <f>CUSTOS!$E$9</f>
        <v>0</v>
      </c>
      <c r="T55" s="13">
        <f>CUSTOS!$E$10</f>
        <v>-46691.575068666127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-1289202.8707747674</v>
      </c>
      <c r="Z55" s="13">
        <f>CUSTOS!$E$16</f>
        <v>0</v>
      </c>
      <c r="AA55" s="13">
        <f>CUSTOS!$E$17</f>
        <v>0</v>
      </c>
      <c r="AB55" s="13">
        <f>CUSTOS!$E$18</f>
        <v>-1289202.8707747674</v>
      </c>
      <c r="AC55" s="13">
        <f>CUSTOS!$E$19</f>
        <v>-17867394.383257363</v>
      </c>
      <c r="AD55" s="13">
        <f>CUSTOS!$E$20</f>
        <v>-17867394.383257363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-21537.922799824173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-21537.922799824173</v>
      </c>
      <c r="AM55" s="13">
        <f>CUSTOS!$E$29</f>
        <v>-19224826.751900621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3">
      <c r="K56" s="16" t="s">
        <v>543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606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3">
      <c r="K58" s="16" t="s">
        <v>618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70" priority="55" operator="notEqual">
      <formula>$L$55</formula>
    </cfRule>
    <cfRule type="cellIs" dxfId="769" priority="56" operator="equal">
      <formula>$L$55</formula>
    </cfRule>
  </conditionalFormatting>
  <conditionalFormatting sqref="M53">
    <cfRule type="cellIs" dxfId="768" priority="53" operator="notEqual">
      <formula>$M$55</formula>
    </cfRule>
    <cfRule type="cellIs" dxfId="767" priority="54" operator="equal">
      <formula>$M$55</formula>
    </cfRule>
  </conditionalFormatting>
  <conditionalFormatting sqref="N53">
    <cfRule type="cellIs" dxfId="766" priority="51" operator="notEqual">
      <formula>$N$55</formula>
    </cfRule>
    <cfRule type="cellIs" dxfId="765" priority="52" operator="equal">
      <formula>$N$55</formula>
    </cfRule>
  </conditionalFormatting>
  <conditionalFormatting sqref="O53">
    <cfRule type="cellIs" dxfId="764" priority="49" operator="notEqual">
      <formula>$O$55</formula>
    </cfRule>
    <cfRule type="cellIs" dxfId="763" priority="50" operator="equal">
      <formula>$O$55</formula>
    </cfRule>
  </conditionalFormatting>
  <conditionalFormatting sqref="P53">
    <cfRule type="cellIs" dxfId="762" priority="47" operator="notEqual">
      <formula>$P$55</formula>
    </cfRule>
    <cfRule type="cellIs" dxfId="761" priority="48" operator="equal">
      <formula>$P$55</formula>
    </cfRule>
  </conditionalFormatting>
  <conditionalFormatting sqref="Q53">
    <cfRule type="cellIs" dxfId="760" priority="45" operator="notEqual">
      <formula>$Q$55</formula>
    </cfRule>
    <cfRule type="cellIs" dxfId="759" priority="46" operator="equal">
      <formula>$Q$55</formula>
    </cfRule>
  </conditionalFormatting>
  <conditionalFormatting sqref="R53">
    <cfRule type="cellIs" dxfId="758" priority="43" operator="notEqual">
      <formula>$R$55</formula>
    </cfRule>
    <cfRule type="cellIs" dxfId="757" priority="44" operator="equal">
      <formula>$R$55</formula>
    </cfRule>
  </conditionalFormatting>
  <conditionalFormatting sqref="S53">
    <cfRule type="cellIs" dxfId="756" priority="41" operator="notEqual">
      <formula>$S$55</formula>
    </cfRule>
    <cfRule type="cellIs" dxfId="755" priority="42" operator="equal">
      <formula>$S$55</formula>
    </cfRule>
  </conditionalFormatting>
  <conditionalFormatting sqref="T53">
    <cfRule type="cellIs" dxfId="754" priority="39" operator="notEqual">
      <formula>$T$55</formula>
    </cfRule>
    <cfRule type="cellIs" dxfId="753" priority="40" operator="equal">
      <formula>$T$55</formula>
    </cfRule>
  </conditionalFormatting>
  <conditionalFormatting sqref="U53">
    <cfRule type="cellIs" dxfId="752" priority="37" operator="notEqual">
      <formula>$U$55</formula>
    </cfRule>
    <cfRule type="cellIs" dxfId="751" priority="38" operator="equal">
      <formula>$U$55</formula>
    </cfRule>
  </conditionalFormatting>
  <conditionalFormatting sqref="V53">
    <cfRule type="cellIs" dxfId="750" priority="35" operator="notEqual">
      <formula>$V$55</formula>
    </cfRule>
    <cfRule type="cellIs" dxfId="749" priority="36" operator="equal">
      <formula>$V$55</formula>
    </cfRule>
  </conditionalFormatting>
  <conditionalFormatting sqref="W53">
    <cfRule type="cellIs" dxfId="748" priority="33" operator="notEqual">
      <formula>$W$55</formula>
    </cfRule>
    <cfRule type="cellIs" dxfId="747" priority="34" operator="equal">
      <formula>$W$55</formula>
    </cfRule>
  </conditionalFormatting>
  <conditionalFormatting sqref="X53">
    <cfRule type="cellIs" dxfId="746" priority="31" operator="notEqual">
      <formula>$X$55</formula>
    </cfRule>
    <cfRule type="cellIs" dxfId="745" priority="32" operator="equal">
      <formula>$X$55</formula>
    </cfRule>
  </conditionalFormatting>
  <conditionalFormatting sqref="Y53">
    <cfRule type="cellIs" dxfId="744" priority="29" operator="notEqual">
      <formula>$Y$55</formula>
    </cfRule>
    <cfRule type="cellIs" dxfId="743" priority="30" operator="equal">
      <formula>$Y$55</formula>
    </cfRule>
  </conditionalFormatting>
  <conditionalFormatting sqref="Z53">
    <cfRule type="cellIs" dxfId="742" priority="27" operator="notEqual">
      <formula>$Z$55</formula>
    </cfRule>
    <cfRule type="cellIs" dxfId="741" priority="28" operator="equal">
      <formula>$Z$55</formula>
    </cfRule>
  </conditionalFormatting>
  <conditionalFormatting sqref="AA53">
    <cfRule type="cellIs" dxfId="740" priority="25" operator="notEqual">
      <formula>$AA$55</formula>
    </cfRule>
    <cfRule type="cellIs" dxfId="739" priority="26" operator="equal">
      <formula>$AA$55</formula>
    </cfRule>
  </conditionalFormatting>
  <conditionalFormatting sqref="AB53">
    <cfRule type="cellIs" dxfId="738" priority="23" operator="notEqual">
      <formula>$AB$55</formula>
    </cfRule>
    <cfRule type="cellIs" dxfId="737" priority="24" operator="equal">
      <formula>$AB$55</formula>
    </cfRule>
  </conditionalFormatting>
  <conditionalFormatting sqref="AC53">
    <cfRule type="cellIs" dxfId="736" priority="21" operator="notEqual">
      <formula>$AC$55</formula>
    </cfRule>
    <cfRule type="cellIs" dxfId="735" priority="22" operator="equal">
      <formula>$AC$55</formula>
    </cfRule>
  </conditionalFormatting>
  <conditionalFormatting sqref="AD53">
    <cfRule type="cellIs" dxfId="734" priority="19" operator="notEqual">
      <formula>$AD$55</formula>
    </cfRule>
    <cfRule type="cellIs" dxfId="733" priority="20" operator="equal">
      <formula>$AD$55</formula>
    </cfRule>
  </conditionalFormatting>
  <conditionalFormatting sqref="AE53">
    <cfRule type="cellIs" dxfId="732" priority="17" operator="notEqual">
      <formula>$AE$55</formula>
    </cfRule>
    <cfRule type="cellIs" dxfId="731" priority="18" operator="equal">
      <formula>$AE$55</formula>
    </cfRule>
  </conditionalFormatting>
  <conditionalFormatting sqref="AF53">
    <cfRule type="cellIs" dxfId="730" priority="16" operator="equal">
      <formula>$AF$55</formula>
    </cfRule>
  </conditionalFormatting>
  <conditionalFormatting sqref="AF53">
    <cfRule type="cellIs" dxfId="729" priority="15" operator="notEqual">
      <formula>$AF$55</formula>
    </cfRule>
  </conditionalFormatting>
  <conditionalFormatting sqref="AG53">
    <cfRule type="cellIs" dxfId="728" priority="14" operator="equal">
      <formula>$AG$55</formula>
    </cfRule>
  </conditionalFormatting>
  <conditionalFormatting sqref="AG53">
    <cfRule type="cellIs" dxfId="727" priority="13" operator="notEqual">
      <formula>$AG$55</formula>
    </cfRule>
  </conditionalFormatting>
  <conditionalFormatting sqref="AH53">
    <cfRule type="cellIs" dxfId="726" priority="12" operator="equal">
      <formula>$AH$55</formula>
    </cfRule>
  </conditionalFormatting>
  <conditionalFormatting sqref="AH53">
    <cfRule type="cellIs" dxfId="725" priority="11" operator="notEqual">
      <formula>$AH$55</formula>
    </cfRule>
  </conditionalFormatting>
  <conditionalFormatting sqref="AI53">
    <cfRule type="cellIs" dxfId="724" priority="10" operator="equal">
      <formula>$AI$55</formula>
    </cfRule>
  </conditionalFormatting>
  <conditionalFormatting sqref="AI53">
    <cfRule type="cellIs" dxfId="723" priority="9" operator="notEqual">
      <formula>$AI$55</formula>
    </cfRule>
  </conditionalFormatting>
  <conditionalFormatting sqref="AJ53">
    <cfRule type="cellIs" dxfId="722" priority="8" operator="equal">
      <formula>$AJ$55</formula>
    </cfRule>
  </conditionalFormatting>
  <conditionalFormatting sqref="AJ53">
    <cfRule type="cellIs" dxfId="721" priority="7" operator="notEqual">
      <formula>$AJ$55</formula>
    </cfRule>
  </conditionalFormatting>
  <conditionalFormatting sqref="AK53">
    <cfRule type="cellIs" dxfId="720" priority="6" operator="equal">
      <formula>$AK$55</formula>
    </cfRule>
  </conditionalFormatting>
  <conditionalFormatting sqref="AK53">
    <cfRule type="cellIs" dxfId="719" priority="5" operator="notEqual">
      <formula>$AK$55</formula>
    </cfRule>
  </conditionalFormatting>
  <conditionalFormatting sqref="AL53">
    <cfRule type="cellIs" dxfId="718" priority="4" operator="equal">
      <formula>$AL$55</formula>
    </cfRule>
  </conditionalFormatting>
  <conditionalFormatting sqref="AL53">
    <cfRule type="cellIs" dxfId="717" priority="3" operator="notEqual">
      <formula>$AL$55</formula>
    </cfRule>
  </conditionalFormatting>
  <conditionalFormatting sqref="AM53">
    <cfRule type="cellIs" dxfId="716" priority="2" operator="equal">
      <formula>$AM$55</formula>
    </cfRule>
  </conditionalFormatting>
  <conditionalFormatting sqref="AM53">
    <cfRule type="cellIs" dxfId="715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3EF3-E9DB-4DCA-8958-F2D269776E98}">
  <dimension ref="A1:AP57"/>
  <sheetViews>
    <sheetView showGridLines="0" topLeftCell="AF41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88671875" style="9" bestFit="1" customWidth="1"/>
    <col min="14" max="14" width="3.77734375" style="9" bestFit="1" customWidth="1"/>
    <col min="15" max="16" width="4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7.55468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10.3320312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10.3320312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91" t="s">
        <v>60</v>
      </c>
      <c r="B1" s="91" t="s">
        <v>61</v>
      </c>
      <c r="C1" s="91" t="s">
        <v>62</v>
      </c>
      <c r="D1" s="91" t="s">
        <v>63</v>
      </c>
      <c r="E1" s="91" t="s">
        <v>64</v>
      </c>
      <c r="F1" s="91" t="s">
        <v>15</v>
      </c>
      <c r="G1" s="91" t="s">
        <v>66</v>
      </c>
      <c r="H1" s="91" t="s">
        <v>67</v>
      </c>
      <c r="I1" s="91" t="s">
        <v>600</v>
      </c>
      <c r="J1" s="84"/>
      <c r="L1" s="92" t="s">
        <v>620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0"/>
      <c r="AP1" s="96" t="s">
        <v>602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499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0"/>
      <c r="AP2" s="97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500</v>
      </c>
      <c r="M3" s="92"/>
      <c r="N3" s="92"/>
      <c r="O3" s="92"/>
      <c r="P3" s="92"/>
      <c r="Q3" s="92"/>
      <c r="R3" s="92"/>
      <c r="S3" s="92"/>
      <c r="T3" s="92"/>
      <c r="U3" s="92" t="s">
        <v>509</v>
      </c>
      <c r="V3" s="92"/>
      <c r="W3" s="92"/>
      <c r="X3" s="92"/>
      <c r="Y3" s="92"/>
      <c r="Z3" s="92"/>
      <c r="AA3" s="92"/>
      <c r="AB3" s="92"/>
      <c r="AC3" s="92" t="s">
        <v>517</v>
      </c>
      <c r="AD3" s="92"/>
      <c r="AE3" s="92" t="s">
        <v>519</v>
      </c>
      <c r="AF3" s="92"/>
      <c r="AG3" s="92"/>
      <c r="AH3" s="92" t="s">
        <v>522</v>
      </c>
      <c r="AI3" s="92"/>
      <c r="AJ3" s="92"/>
      <c r="AK3" s="92"/>
      <c r="AL3" s="92"/>
      <c r="AM3" s="92" t="s">
        <v>508</v>
      </c>
      <c r="AO3" s="20"/>
      <c r="AP3" s="97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585</v>
      </c>
      <c r="M4" s="10" t="s">
        <v>501</v>
      </c>
      <c r="N4" s="10" t="s">
        <v>502</v>
      </c>
      <c r="O4" s="10" t="s">
        <v>503</v>
      </c>
      <c r="P4" s="10" t="s">
        <v>504</v>
      </c>
      <c r="Q4" s="10" t="s">
        <v>505</v>
      </c>
      <c r="R4" s="10" t="s">
        <v>506</v>
      </c>
      <c r="S4" s="10" t="s">
        <v>507</v>
      </c>
      <c r="T4" s="10" t="s">
        <v>508</v>
      </c>
      <c r="U4" s="10" t="s">
        <v>510</v>
      </c>
      <c r="V4" s="10" t="s">
        <v>511</v>
      </c>
      <c r="W4" s="10" t="s">
        <v>512</v>
      </c>
      <c r="X4" s="10" t="s">
        <v>513</v>
      </c>
      <c r="Y4" s="10" t="s">
        <v>514</v>
      </c>
      <c r="Z4" s="10" t="s">
        <v>515</v>
      </c>
      <c r="AA4" s="10" t="s">
        <v>516</v>
      </c>
      <c r="AB4" s="10" t="s">
        <v>508</v>
      </c>
      <c r="AC4" s="10" t="s">
        <v>518</v>
      </c>
      <c r="AD4" s="10" t="s">
        <v>508</v>
      </c>
      <c r="AE4" s="10" t="s">
        <v>520</v>
      </c>
      <c r="AF4" s="10" t="s">
        <v>521</v>
      </c>
      <c r="AG4" s="10" t="s">
        <v>508</v>
      </c>
      <c r="AH4" s="10" t="s">
        <v>523</v>
      </c>
      <c r="AI4" s="10" t="s">
        <v>524</v>
      </c>
      <c r="AJ4" s="10" t="s">
        <v>525</v>
      </c>
      <c r="AK4" s="10" t="s">
        <v>526</v>
      </c>
      <c r="AL4" s="10" t="s">
        <v>508</v>
      </c>
      <c r="AM4" s="94"/>
      <c r="AO4" s="21" t="s">
        <v>619</v>
      </c>
      <c r="AP4" s="98"/>
    </row>
    <row r="5" spans="1:42" ht="11.25" customHeight="1" x14ac:dyDescent="0.3">
      <c r="A5" s="95" t="s">
        <v>37</v>
      </c>
      <c r="B5" s="95" t="s">
        <v>41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76</v>
      </c>
      <c r="H5" s="18" t="s">
        <v>75</v>
      </c>
      <c r="I5" s="18">
        <f>'MERCADO TUSD'!$U$2</f>
        <v>6523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203.97566241759174</v>
      </c>
      <c r="AP5" s="20">
        <f ca="1">+'TUSD BE'!$T$5+'TUSD BE'!$AB$5+'TUSD BE'!$AD$5+'TUSD BE'!$AL$5</f>
        <v>203.97566241759174</v>
      </c>
    </row>
    <row r="6" spans="1:42" ht="11.25" customHeight="1" x14ac:dyDescent="0.3">
      <c r="A6" s="95"/>
      <c r="B6" s="95"/>
      <c r="C6" s="95"/>
      <c r="D6" s="95"/>
      <c r="E6" s="95"/>
      <c r="F6" s="95"/>
      <c r="G6" s="18" t="s">
        <v>77</v>
      </c>
      <c r="H6" s="18" t="s">
        <v>75</v>
      </c>
      <c r="I6" s="18">
        <f>'MERCADO TUSD'!$U$3</f>
        <v>6575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62.914097188536346</v>
      </c>
      <c r="AP6" s="20">
        <f ca="1">+'TUSD BE'!$T$6+'TUSD BE'!$AB$6+'TUSD BE'!$AD$6+'TUSD BE'!$AL$6</f>
        <v>62.914097188536346</v>
      </c>
    </row>
    <row r="7" spans="1:42" ht="11.25" customHeight="1" x14ac:dyDescent="0.3">
      <c r="A7" s="95"/>
      <c r="B7" s="95"/>
      <c r="C7" s="95"/>
      <c r="D7" s="95"/>
      <c r="E7" s="95"/>
      <c r="F7" s="95"/>
      <c r="G7" s="18" t="s">
        <v>74</v>
      </c>
      <c r="H7" s="18" t="s">
        <v>70</v>
      </c>
      <c r="I7" s="18">
        <f>'MERCADO TUSD'!$U$4</f>
        <v>4102.5690000000004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0">
        <f ca="1">+'TUSD BE'!$T$7+'TUSD BE'!$AB$7+'TUSD BE'!$AD$7+'TUSD BE'!$AL$7</f>
        <v>105.34452981707958</v>
      </c>
      <c r="AP7" s="20">
        <f ca="1">+'TUSD BE'!$T$7+'TUSD BE'!$AB$7+'TUSD BE'!$AD$7+'TUSD BE'!$AL$7</f>
        <v>105.34452981707958</v>
      </c>
    </row>
    <row r="8" spans="1:42" ht="11.25" customHeight="1" x14ac:dyDescent="0.3">
      <c r="A8" s="95"/>
      <c r="B8" s="95"/>
      <c r="C8" s="95"/>
      <c r="D8" s="95"/>
      <c r="E8" s="17" t="s">
        <v>78</v>
      </c>
      <c r="F8" s="17" t="s">
        <v>25</v>
      </c>
      <c r="G8" s="18" t="s">
        <v>74</v>
      </c>
      <c r="H8" s="18" t="s">
        <v>70</v>
      </c>
      <c r="I8" s="18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0">
        <f ca="1">+'TUSD BE'!$T$8+'TUSD BE'!$AB$8+'TUSD BE'!$AD$8+'TUSD BE'!$AL$8</f>
        <v>12.923415118136379</v>
      </c>
      <c r="AP8" s="20">
        <f ca="1">+'TUSD BE'!$T$8+'TUSD BE'!$AB$8+'TUSD BE'!$AD$8+'TUSD BE'!$AL$8</f>
        <v>12.923415118136379</v>
      </c>
    </row>
    <row r="9" spans="1:42" ht="11.25" customHeight="1" x14ac:dyDescent="0.3">
      <c r="A9" s="95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75</v>
      </c>
      <c r="I9" s="18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0">
        <f ca="1">+'TUSD BE'!$T$9+'TUSD BE'!$AB$9+'TUSD BE'!$AD$9+'TUSD BE'!$AL$9</f>
        <v>11.885620767894308</v>
      </c>
      <c r="AP9" s="20">
        <f ca="1">+'TUSD BE'!$T$9+'TUSD BE'!$AB$9+'TUSD BE'!$AD$9+'TUSD BE'!$AL$9</f>
        <v>11.885620767894308</v>
      </c>
    </row>
    <row r="10" spans="1:42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75</v>
      </c>
      <c r="I10" s="18">
        <f>'MERCADO TUSD'!$U$7</f>
        <v>18005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0">
        <f ca="1">+'TUSD BE'!$T$10+'TUSD BE'!$AB$10+'TUSD BE'!$AD$10+'TUSD BE'!$AL$10</f>
        <v>62.914097188536346</v>
      </c>
      <c r="AP10" s="20">
        <f ca="1">+'TUSD BE'!$T$10+'TUSD BE'!$AB$10+'TUSD BE'!$AD$10+'TUSD BE'!$AL$10</f>
        <v>62.914097188536346</v>
      </c>
    </row>
    <row r="11" spans="1:42" ht="11.25" customHeight="1" x14ac:dyDescent="0.3">
      <c r="A11" s="95"/>
      <c r="B11" s="95"/>
      <c r="C11" s="95"/>
      <c r="D11" s="95"/>
      <c r="E11" s="95"/>
      <c r="F11" s="95"/>
      <c r="G11" s="18" t="s">
        <v>71</v>
      </c>
      <c r="H11" s="18" t="s">
        <v>70</v>
      </c>
      <c r="I11" s="18">
        <f>'MERCADO TUSD'!$U$8</f>
        <v>126.06400000000002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0">
        <f ca="1">+'TUSD BE'!$T$11+'TUSD BE'!$AB$11+'TUSD BE'!$AD$11+'TUSD BE'!$AL$11</f>
        <v>5011.4164498603859</v>
      </c>
      <c r="AP11" s="20">
        <f ca="1">+'TUSD BE'!$T$11+'TUSD BE'!$AB$11+'TUSD BE'!$AD$11+'TUSD BE'!$AL$11</f>
        <v>5011.4164498603859</v>
      </c>
    </row>
    <row r="12" spans="1:42" ht="11.25" customHeight="1" x14ac:dyDescent="0.3">
      <c r="A12" s="95"/>
      <c r="B12" s="95"/>
      <c r="C12" s="95"/>
      <c r="D12" s="95"/>
      <c r="E12" s="95"/>
      <c r="F12" s="95"/>
      <c r="G12" s="18" t="s">
        <v>72</v>
      </c>
      <c r="H12" s="18" t="s">
        <v>70</v>
      </c>
      <c r="I12" s="18">
        <f>'MERCADO TUSD'!$U$9</f>
        <v>4809.674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0">
        <f ca="1">+'TUSD BE'!$T$12+'TUSD BE'!$AB$12+'TUSD BE'!$AD$12+'TUSD BE'!$AL$12</f>
        <v>105.34452981707958</v>
      </c>
      <c r="AP12" s="20">
        <f ca="1">+'TUSD BE'!$T$12+'TUSD BE'!$AB$12+'TUSD BE'!$AD$12+'TUSD BE'!$AL$12</f>
        <v>105.34452981707958</v>
      </c>
    </row>
    <row r="13" spans="1:42" ht="11.25" customHeight="1" x14ac:dyDescent="0.3">
      <c r="A13" s="95"/>
      <c r="B13" s="95"/>
      <c r="C13" s="95"/>
      <c r="D13" s="95"/>
      <c r="E13" s="95" t="s">
        <v>78</v>
      </c>
      <c r="F13" s="95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0">
        <f ca="1">+'TUSD BE'!$T$13+'TUSD BE'!$AB$13+'TUSD BE'!$AD$13+'TUSD BE'!$AL$13</f>
        <v>4918.9953351614431</v>
      </c>
      <c r="AP13" s="20">
        <f ca="1">+'TUSD BE'!$T$13+'TUSD BE'!$AB$13+'TUSD BE'!$AD$13+'TUSD BE'!$AL$13</f>
        <v>4918.9953351614431</v>
      </c>
    </row>
    <row r="14" spans="1:42" ht="11.25" customHeight="1" x14ac:dyDescent="0.3">
      <c r="A14" s="95"/>
      <c r="B14" s="95"/>
      <c r="C14" s="95"/>
      <c r="D14" s="95"/>
      <c r="E14" s="95"/>
      <c r="F14" s="95"/>
      <c r="G14" s="18" t="s">
        <v>72</v>
      </c>
      <c r="H14" s="18" t="s">
        <v>70</v>
      </c>
      <c r="I14" s="18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0">
        <f ca="1">+'TUSD BE'!$T$14+'TUSD BE'!$AB$14+'TUSD BE'!$AD$14+'TUSD BE'!$AL$14</f>
        <v>12.923415118136379</v>
      </c>
      <c r="AP14" s="20">
        <f ca="1">+'TUSD BE'!$T$14+'TUSD BE'!$AB$14+'TUSD BE'!$AD$14+'TUSD BE'!$AL$14</f>
        <v>12.923415118136379</v>
      </c>
    </row>
    <row r="15" spans="1:42" ht="11.25" customHeight="1" x14ac:dyDescent="0.3">
      <c r="A15" s="95" t="s">
        <v>80</v>
      </c>
      <c r="B15" s="95" t="s">
        <v>79</v>
      </c>
      <c r="C15" s="95" t="s">
        <v>25</v>
      </c>
      <c r="D15" s="95" t="s">
        <v>25</v>
      </c>
      <c r="E15" s="17" t="s">
        <v>81</v>
      </c>
      <c r="F15" s="17" t="s">
        <v>25</v>
      </c>
      <c r="G15" s="18" t="s">
        <v>9</v>
      </c>
      <c r="H15" s="18" t="s">
        <v>75</v>
      </c>
      <c r="I15" s="18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20.425404951549666</v>
      </c>
      <c r="AP15" s="20">
        <f ca="1">+'TUSD BE'!$T$15+'TUSD BE'!$AB$15+'TUSD BE'!$AD$15+'TUSD BE'!$AL$15</f>
        <v>20.425404951549666</v>
      </c>
    </row>
    <row r="16" spans="1:42" ht="11.25" customHeight="1" x14ac:dyDescent="0.3">
      <c r="A16" s="95"/>
      <c r="B16" s="95"/>
      <c r="C16" s="95"/>
      <c r="D16" s="95"/>
      <c r="E16" s="17" t="s">
        <v>82</v>
      </c>
      <c r="F16" s="17" t="s">
        <v>25</v>
      </c>
      <c r="G16" s="18" t="s">
        <v>9</v>
      </c>
      <c r="H16" s="18" t="s">
        <v>75</v>
      </c>
      <c r="I16" s="18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41.544102180326092</v>
      </c>
      <c r="AP16" s="20">
        <f ca="1">+'TUSD BE'!$T$16+'TUSD BE'!$AB$16+'TUSD BE'!$AD$16+'TUSD BE'!$AL$16</f>
        <v>41.544102180326092</v>
      </c>
    </row>
    <row r="17" spans="1:42" ht="11.25" customHeight="1" x14ac:dyDescent="0.3">
      <c r="A17" s="95" t="s">
        <v>22</v>
      </c>
      <c r="B17" s="95" t="s">
        <v>33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71</v>
      </c>
      <c r="H17" s="18" t="s">
        <v>70</v>
      </c>
      <c r="I17" s="18">
        <f>'MERCADO TUSD'!$U$14</f>
        <v>0.66799999999999993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0">
        <f ca="1">+'TUSD BE'!$T$17+'TUSD BE'!$AB$17+'TUSD BE'!$AD$17+'TUSD BE'!$AL$17</f>
        <v>2317.2419011220341</v>
      </c>
      <c r="AP17" s="20">
        <f ca="1">+'TUSD BE'!$T$17+'TUSD BE'!$AB$17+'TUSD BE'!$AD$17+'TUSD BE'!$AL$17</f>
        <v>2317.2419011220341</v>
      </c>
    </row>
    <row r="18" spans="1:42" ht="11.25" customHeight="1" x14ac:dyDescent="0.3">
      <c r="A18" s="95"/>
      <c r="B18" s="95"/>
      <c r="C18" s="95"/>
      <c r="D18" s="95"/>
      <c r="E18" s="95"/>
      <c r="F18" s="95"/>
      <c r="G18" s="18" t="s">
        <v>83</v>
      </c>
      <c r="H18" s="18" t="s">
        <v>70</v>
      </c>
      <c r="I18" s="18">
        <f>'MERCADO TUSD'!$U$15</f>
        <v>0.34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0">
        <f ca="1">+'TUSD BE'!$T$18+'TUSD BE'!$AB$18+'TUSD BE'!$AD$18+'TUSD BE'!$AL$18</f>
        <v>1446.4921141168909</v>
      </c>
      <c r="AP18" s="20">
        <f ca="1">+'TUSD BE'!$T$18+'TUSD BE'!$AB$18+'TUSD BE'!$AD$18+'TUSD BE'!$AL$18</f>
        <v>1446.4921141168909</v>
      </c>
    </row>
    <row r="19" spans="1:42" ht="11.25" customHeight="1" x14ac:dyDescent="0.3">
      <c r="A19" s="95"/>
      <c r="B19" s="95"/>
      <c r="C19" s="95"/>
      <c r="D19" s="95"/>
      <c r="E19" s="95"/>
      <c r="F19" s="95"/>
      <c r="G19" s="18" t="s">
        <v>72</v>
      </c>
      <c r="H19" s="18" t="s">
        <v>70</v>
      </c>
      <c r="I19" s="18">
        <f>'MERCADO TUSD'!$U$16</f>
        <v>8.6609999999999996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0">
        <f ca="1">+'TUSD BE'!$T$19+'TUSD BE'!$AB$19+'TUSD BE'!$AD$19+'TUSD BE'!$AL$19</f>
        <v>575.81729216348947</v>
      </c>
      <c r="AP19" s="20">
        <f ca="1">+'TUSD BE'!$T$19+'TUSD BE'!$AB$19+'TUSD BE'!$AD$19+'TUSD BE'!$AL$19</f>
        <v>575.81729216348947</v>
      </c>
    </row>
    <row r="20" spans="1:42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74</v>
      </c>
      <c r="H20" s="18" t="s">
        <v>70</v>
      </c>
      <c r="I20" s="18">
        <f>'MERCADO TUSD'!$U$17</f>
        <v>15958.987000000001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0">
        <f ca="1">+'TUSD BE'!$T$20+'TUSD BE'!$AB$20+'TUSD BE'!$AD$20+'TUSD BE'!$AL$20</f>
        <v>946.54582943602099</v>
      </c>
      <c r="AP20" s="20">
        <f ca="1">+'TUSD BE'!$T$20+'TUSD BE'!$AB$20+'TUSD BE'!$AD$20+'TUSD BE'!$AL$20</f>
        <v>946.54582943602099</v>
      </c>
    </row>
    <row r="21" spans="1:42" ht="11.25" customHeight="1" x14ac:dyDescent="0.3">
      <c r="A21" s="95"/>
      <c r="B21" s="95"/>
      <c r="C21" s="95"/>
      <c r="D21" s="17" t="s">
        <v>29</v>
      </c>
      <c r="E21" s="17" t="s">
        <v>25</v>
      </c>
      <c r="F21" s="17" t="s">
        <v>25</v>
      </c>
      <c r="G21" s="18" t="s">
        <v>74</v>
      </c>
      <c r="H21" s="18" t="s">
        <v>70</v>
      </c>
      <c r="I21" s="18">
        <f>'MERCADO TUSD'!$U$18</f>
        <v>86.132999999999996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0">
        <f ca="1">+'TUSD BE'!$T$21+'TUSD BE'!$AB$21+'TUSD BE'!$AD$21+'TUSD BE'!$AL$21</f>
        <v>839.30736873358853</v>
      </c>
      <c r="AP21" s="20">
        <f ca="1">+'TUSD BE'!$T$21+'TUSD BE'!$AB$21+'TUSD BE'!$AD$21+'TUSD BE'!$AL$21</f>
        <v>839.30736873358853</v>
      </c>
    </row>
    <row r="22" spans="1:42" ht="11.25" customHeight="1" x14ac:dyDescent="0.3">
      <c r="A22" s="95"/>
      <c r="B22" s="95"/>
      <c r="C22" s="95"/>
      <c r="D22" s="17" t="s">
        <v>30</v>
      </c>
      <c r="E22" s="17" t="s">
        <v>25</v>
      </c>
      <c r="F22" s="17" t="s">
        <v>25</v>
      </c>
      <c r="G22" s="18" t="s">
        <v>74</v>
      </c>
      <c r="H22" s="18" t="s">
        <v>70</v>
      </c>
      <c r="I22" s="18">
        <f>'MERCADO TUSD'!$U$19</f>
        <v>172.315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0">
        <f ca="1">+'TUSD BE'!$T$22+'TUSD BE'!$AB$22+'TUSD BE'!$AD$22+'TUSD BE'!$AL$22</f>
        <v>839.30736873358853</v>
      </c>
      <c r="AP22" s="20">
        <f ca="1">+'TUSD BE'!$T$22+'TUSD BE'!$AB$22+'TUSD BE'!$AD$22+'TUSD BE'!$AL$22</f>
        <v>839.30736873358853</v>
      </c>
    </row>
    <row r="23" spans="1:42" ht="11.25" customHeight="1" x14ac:dyDescent="0.3">
      <c r="A23" s="95"/>
      <c r="B23" s="95"/>
      <c r="C23" s="95"/>
      <c r="D23" s="17" t="s">
        <v>31</v>
      </c>
      <c r="E23" s="17" t="s">
        <v>25</v>
      </c>
      <c r="F23" s="17" t="s">
        <v>25</v>
      </c>
      <c r="G23" s="18" t="s">
        <v>74</v>
      </c>
      <c r="H23" s="18" t="s">
        <v>70</v>
      </c>
      <c r="I23" s="18">
        <f>'MERCADO TUSD'!$U$20</f>
        <v>174.131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0">
        <f ca="1">+'TUSD BE'!$T$23+'TUSD BE'!$AB$23+'TUSD BE'!$AD$23+'TUSD BE'!$AL$23</f>
        <v>839.30736873358853</v>
      </c>
      <c r="AP23" s="20">
        <f ca="1">+'TUSD BE'!$T$23+'TUSD BE'!$AB$23+'TUSD BE'!$AD$23+'TUSD BE'!$AL$23</f>
        <v>839.30736873358853</v>
      </c>
    </row>
    <row r="24" spans="1:42" ht="11.25" customHeight="1" x14ac:dyDescent="0.3">
      <c r="A24" s="95"/>
      <c r="B24" s="95"/>
      <c r="C24" s="95"/>
      <c r="D24" s="17" t="s">
        <v>32</v>
      </c>
      <c r="E24" s="17" t="s">
        <v>25</v>
      </c>
      <c r="F24" s="17" t="s">
        <v>25</v>
      </c>
      <c r="G24" s="18" t="s">
        <v>74</v>
      </c>
      <c r="H24" s="18" t="s">
        <v>70</v>
      </c>
      <c r="I24" s="18">
        <f>'MERCADO TUSD'!$U$21</f>
        <v>71.680000000000007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0">
        <f ca="1">+'TUSD BE'!$T$24+'TUSD BE'!$AB$24+'TUSD BE'!$AD$24+'TUSD BE'!$AL$24</f>
        <v>839.30736873358853</v>
      </c>
      <c r="AP24" s="20">
        <f ca="1">+'TUSD BE'!$T$24+'TUSD BE'!$AB$24+'TUSD BE'!$AD$24+'TUSD BE'!$AL$24</f>
        <v>839.30736873358853</v>
      </c>
    </row>
    <row r="25" spans="1:42" ht="11.25" customHeight="1" x14ac:dyDescent="0.3">
      <c r="A25" s="95"/>
      <c r="B25" s="95" t="s">
        <v>85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74</v>
      </c>
      <c r="H25" s="18" t="s">
        <v>70</v>
      </c>
      <c r="I25" s="18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0">
        <f ca="1">+'TUSD BE'!$T$25+'TUSD BE'!$AB$25+'TUSD BE'!$AD$25+'TUSD BE'!$AL$25</f>
        <v>946.54582943602099</v>
      </c>
      <c r="AP25" s="20">
        <f ca="1">+'TUSD BE'!$T$25+'TUSD BE'!$AB$25+'TUSD BE'!$AD$25+'TUSD BE'!$AL$25</f>
        <v>946.54582943602099</v>
      </c>
    </row>
    <row r="26" spans="1:42" ht="11.25" customHeight="1" x14ac:dyDescent="0.3">
      <c r="A26" s="95"/>
      <c r="B26" s="95"/>
      <c r="C26" s="95"/>
      <c r="D26" s="17" t="s">
        <v>29</v>
      </c>
      <c r="E26" s="17" t="s">
        <v>25</v>
      </c>
      <c r="F26" s="17" t="s">
        <v>25</v>
      </c>
      <c r="G26" s="18" t="s">
        <v>74</v>
      </c>
      <c r="H26" s="18" t="s">
        <v>70</v>
      </c>
      <c r="I26" s="18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0">
        <f ca="1">+'TUSD BE'!$T$26+'TUSD BE'!$AB$26+'TUSD BE'!$AD$26+'TUSD BE'!$AL$26</f>
        <v>839.30736873358853</v>
      </c>
      <c r="AP26" s="20">
        <f ca="1">+'TUSD BE'!$T$26+'TUSD BE'!$AB$26+'TUSD BE'!$AD$26+'TUSD BE'!$AL$26</f>
        <v>839.30736873358853</v>
      </c>
    </row>
    <row r="27" spans="1:42" ht="11.25" customHeight="1" x14ac:dyDescent="0.3">
      <c r="A27" s="95"/>
      <c r="B27" s="95"/>
      <c r="C27" s="95"/>
      <c r="D27" s="17" t="s">
        <v>30</v>
      </c>
      <c r="E27" s="17" t="s">
        <v>25</v>
      </c>
      <c r="F27" s="17" t="s">
        <v>25</v>
      </c>
      <c r="G27" s="18" t="s">
        <v>74</v>
      </c>
      <c r="H27" s="18" t="s">
        <v>70</v>
      </c>
      <c r="I27" s="18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0">
        <f ca="1">+'TUSD BE'!$T$27+'TUSD BE'!$AB$27+'TUSD BE'!$AD$27+'TUSD BE'!$AL$27</f>
        <v>839.30736873358853</v>
      </c>
      <c r="AP27" s="20">
        <f ca="1">+'TUSD BE'!$T$27+'TUSD BE'!$AB$27+'TUSD BE'!$AD$27+'TUSD BE'!$AL$27</f>
        <v>839.30736873358853</v>
      </c>
    </row>
    <row r="28" spans="1:42" ht="11.25" customHeight="1" x14ac:dyDescent="0.3">
      <c r="A28" s="95"/>
      <c r="B28" s="95"/>
      <c r="C28" s="95"/>
      <c r="D28" s="17" t="s">
        <v>31</v>
      </c>
      <c r="E28" s="17" t="s">
        <v>25</v>
      </c>
      <c r="F28" s="17" t="s">
        <v>25</v>
      </c>
      <c r="G28" s="18" t="s">
        <v>74</v>
      </c>
      <c r="H28" s="18" t="s">
        <v>70</v>
      </c>
      <c r="I28" s="18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0">
        <f ca="1">+'TUSD BE'!$T$28+'TUSD BE'!$AB$28+'TUSD BE'!$AD$28+'TUSD BE'!$AL$28</f>
        <v>839.30736873358853</v>
      </c>
      <c r="AP28" s="20">
        <f ca="1">+'TUSD BE'!$T$28+'TUSD BE'!$AB$28+'TUSD BE'!$AD$28+'TUSD BE'!$AL$28</f>
        <v>839.30736873358853</v>
      </c>
    </row>
    <row r="29" spans="1:42" ht="11.25" customHeight="1" x14ac:dyDescent="0.3">
      <c r="A29" s="95"/>
      <c r="B29" s="95"/>
      <c r="C29" s="95"/>
      <c r="D29" s="17" t="s">
        <v>32</v>
      </c>
      <c r="E29" s="17" t="s">
        <v>25</v>
      </c>
      <c r="F29" s="17" t="s">
        <v>25</v>
      </c>
      <c r="G29" s="18" t="s">
        <v>74</v>
      </c>
      <c r="H29" s="18" t="s">
        <v>70</v>
      </c>
      <c r="I29" s="18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0">
        <f ca="1">+'TUSD BE'!$T$29+'TUSD BE'!$AB$29+'TUSD BE'!$AD$29+'TUSD BE'!$AL$29</f>
        <v>839.30736873358853</v>
      </c>
      <c r="AP29" s="20">
        <f ca="1">+'TUSD BE'!$T$29+'TUSD BE'!$AB$29+'TUSD BE'!$AD$29+'TUSD BE'!$AL$29</f>
        <v>839.30736873358853</v>
      </c>
    </row>
    <row r="30" spans="1:42" ht="11.25" customHeight="1" x14ac:dyDescent="0.3">
      <c r="A30" s="95" t="s">
        <v>43</v>
      </c>
      <c r="B30" s="95" t="s">
        <v>33</v>
      </c>
      <c r="C30" s="95" t="s">
        <v>44</v>
      </c>
      <c r="D30" s="95" t="s">
        <v>25</v>
      </c>
      <c r="E30" s="95" t="s">
        <v>25</v>
      </c>
      <c r="F30" s="95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0">
        <f ca="1">+'TUSD BE'!$T$30+'TUSD BE'!$AB$30+'TUSD BE'!$AD$30+'TUSD BE'!$AL$30</f>
        <v>2518.6152812578957</v>
      </c>
      <c r="AP30" s="20">
        <f ca="1">+'TUSD BE'!$T$30+'TUSD BE'!$AB$30+'TUSD BE'!$AD$30+'TUSD BE'!$AL$30</f>
        <v>2518.6152812578957</v>
      </c>
    </row>
    <row r="31" spans="1:42" ht="11.25" customHeight="1" x14ac:dyDescent="0.3">
      <c r="A31" s="95"/>
      <c r="B31" s="95"/>
      <c r="C31" s="95"/>
      <c r="D31" s="95"/>
      <c r="E31" s="95"/>
      <c r="F31" s="95"/>
      <c r="G31" s="18" t="s">
        <v>83</v>
      </c>
      <c r="H31" s="18" t="s">
        <v>70</v>
      </c>
      <c r="I31" s="18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0">
        <f ca="1">+'TUSD BE'!$T$31+'TUSD BE'!$AB$31+'TUSD BE'!$AD$31+'TUSD BE'!$AL$31</f>
        <v>1567.2847774039728</v>
      </c>
      <c r="AP31" s="20">
        <f ca="1">+'TUSD BE'!$T$31+'TUSD BE'!$AB$31+'TUSD BE'!$AD$31+'TUSD BE'!$AL$31</f>
        <v>1567.2847774039728</v>
      </c>
    </row>
    <row r="32" spans="1:42" ht="11.25" customHeight="1" x14ac:dyDescent="0.3">
      <c r="A32" s="95"/>
      <c r="B32" s="95"/>
      <c r="C32" s="95"/>
      <c r="D32" s="95"/>
      <c r="E32" s="95"/>
      <c r="F32" s="95"/>
      <c r="G32" s="18" t="s">
        <v>72</v>
      </c>
      <c r="H32" s="18" t="s">
        <v>70</v>
      </c>
      <c r="I32" s="18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0">
        <f ca="1">+'TUSD BE'!$T$32+'TUSD BE'!$AB$32+'TUSD BE'!$AD$32+'TUSD BE'!$AL$32</f>
        <v>615.95471732038084</v>
      </c>
      <c r="AP32" s="20">
        <f ca="1">+'TUSD BE'!$T$32+'TUSD BE'!$AB$32+'TUSD BE'!$AD$32+'TUSD BE'!$AL$32</f>
        <v>615.95471732038084</v>
      </c>
    </row>
    <row r="33" spans="1:42" ht="11.25" customHeight="1" x14ac:dyDescent="0.3">
      <c r="A33" s="95"/>
      <c r="B33" s="17" t="s">
        <v>23</v>
      </c>
      <c r="C33" s="17" t="s">
        <v>44</v>
      </c>
      <c r="D33" s="17" t="s">
        <v>25</v>
      </c>
      <c r="E33" s="17" t="s">
        <v>25</v>
      </c>
      <c r="F33" s="17" t="s">
        <v>25</v>
      </c>
      <c r="G33" s="18" t="s">
        <v>74</v>
      </c>
      <c r="H33" s="18" t="s">
        <v>70</v>
      </c>
      <c r="I33" s="18">
        <f>'MERCADO TUSD'!$U$30</f>
        <v>19400.674999999996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0">
        <f ca="1">+'TUSD BE'!$T$33+'TUSD BE'!$AB$33+'TUSD BE'!$AD$33+'TUSD BE'!$AL$33</f>
        <v>946.54582943602099</v>
      </c>
      <c r="AP33" s="20">
        <f ca="1">+'TUSD BE'!$T$33+'TUSD BE'!$AB$33+'TUSD BE'!$AD$33+'TUSD BE'!$AL$33</f>
        <v>946.54582943602099</v>
      </c>
    </row>
    <row r="34" spans="1:42" ht="11.25" customHeight="1" x14ac:dyDescent="0.3">
      <c r="A34" s="95"/>
      <c r="B34" s="95" t="s">
        <v>33</v>
      </c>
      <c r="C34" s="95" t="s">
        <v>44</v>
      </c>
      <c r="D34" s="95" t="s">
        <v>86</v>
      </c>
      <c r="E34" s="95" t="s">
        <v>25</v>
      </c>
      <c r="F34" s="95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0">
        <f ca="1">+'TUSD BE'!$T$34+'TUSD BE'!$AB$34+'TUSD BE'!$AD$34+'TUSD BE'!$AL$34</f>
        <v>2518.6152812578957</v>
      </c>
      <c r="AP34" s="20">
        <f ca="1">+'TUSD BE'!$T$34+'TUSD BE'!$AB$34+'TUSD BE'!$AD$34+'TUSD BE'!$AL$34</f>
        <v>2518.6152812578957</v>
      </c>
    </row>
    <row r="35" spans="1:42" ht="11.25" customHeight="1" x14ac:dyDescent="0.3">
      <c r="A35" s="95"/>
      <c r="B35" s="95"/>
      <c r="C35" s="95"/>
      <c r="D35" s="95"/>
      <c r="E35" s="95"/>
      <c r="F35" s="95"/>
      <c r="G35" s="18" t="s">
        <v>83</v>
      </c>
      <c r="H35" s="18" t="s">
        <v>70</v>
      </c>
      <c r="I35" s="18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0">
        <f ca="1">+'TUSD BE'!$T$35+'TUSD BE'!$AB$35+'TUSD BE'!$AD$35+'TUSD BE'!$AL$35</f>
        <v>1567.2847774039728</v>
      </c>
      <c r="AP35" s="20">
        <f ca="1">+'TUSD BE'!$T$35+'TUSD BE'!$AB$35+'TUSD BE'!$AD$35+'TUSD BE'!$AL$35</f>
        <v>1567.2847774039728</v>
      </c>
    </row>
    <row r="36" spans="1:42" ht="11.25" customHeight="1" x14ac:dyDescent="0.3">
      <c r="A36" s="95"/>
      <c r="B36" s="95"/>
      <c r="C36" s="95"/>
      <c r="D36" s="95"/>
      <c r="E36" s="95"/>
      <c r="F36" s="95"/>
      <c r="G36" s="18" t="s">
        <v>72</v>
      </c>
      <c r="H36" s="18" t="s">
        <v>70</v>
      </c>
      <c r="I36" s="18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0">
        <f ca="1">+'TUSD BE'!$T$36+'TUSD BE'!$AB$36+'TUSD BE'!$AD$36+'TUSD BE'!$AL$36</f>
        <v>615.95471732038084</v>
      </c>
      <c r="AP36" s="20">
        <f ca="1">+'TUSD BE'!$T$36+'TUSD BE'!$AB$36+'TUSD BE'!$AD$36+'TUSD BE'!$AL$36</f>
        <v>615.95471732038084</v>
      </c>
    </row>
    <row r="37" spans="1:42" ht="11.25" customHeight="1" x14ac:dyDescent="0.3">
      <c r="A37" s="95"/>
      <c r="B37" s="17" t="s">
        <v>23</v>
      </c>
      <c r="C37" s="17" t="s">
        <v>44</v>
      </c>
      <c r="D37" s="17" t="s">
        <v>86</v>
      </c>
      <c r="E37" s="17" t="s">
        <v>25</v>
      </c>
      <c r="F37" s="17" t="s">
        <v>25</v>
      </c>
      <c r="G37" s="18" t="s">
        <v>74</v>
      </c>
      <c r="H37" s="18" t="s">
        <v>70</v>
      </c>
      <c r="I37" s="18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0">
        <f ca="1">+'TUSD BE'!$T$37+'TUSD BE'!$AB$37+'TUSD BE'!$AD$37+'TUSD BE'!$AL$37</f>
        <v>946.54582943602099</v>
      </c>
      <c r="AP37" s="20">
        <f ca="1">+'TUSD BE'!$T$37+'TUSD BE'!$AB$37+'TUSD BE'!$AD$37+'TUSD BE'!$AL$37</f>
        <v>946.54582943602099</v>
      </c>
    </row>
    <row r="38" spans="1:42" ht="11.25" customHeight="1" x14ac:dyDescent="0.3">
      <c r="A38" s="95"/>
      <c r="B38" s="95" t="s">
        <v>33</v>
      </c>
      <c r="C38" s="95" t="s">
        <v>44</v>
      </c>
      <c r="D38" s="95" t="s">
        <v>87</v>
      </c>
      <c r="E38" s="95" t="s">
        <v>25</v>
      </c>
      <c r="F38" s="95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0">
        <f ca="1">+'TUSD BE'!$T$38+'TUSD BE'!$AB$38+'TUSD BE'!$AD$38+'TUSD BE'!$AL$38</f>
        <v>2518.6152812578957</v>
      </c>
      <c r="AP38" s="20">
        <f ca="1">+'TUSD BE'!$T$38+'TUSD BE'!$AB$38+'TUSD BE'!$AD$38+'TUSD BE'!$AL$38</f>
        <v>2518.6152812578957</v>
      </c>
    </row>
    <row r="39" spans="1:42" ht="11.25" customHeight="1" x14ac:dyDescent="0.3">
      <c r="A39" s="95"/>
      <c r="B39" s="95"/>
      <c r="C39" s="95"/>
      <c r="D39" s="95"/>
      <c r="E39" s="95"/>
      <c r="F39" s="95"/>
      <c r="G39" s="18" t="s">
        <v>83</v>
      </c>
      <c r="H39" s="18" t="s">
        <v>70</v>
      </c>
      <c r="I39" s="18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0">
        <f ca="1">+'TUSD BE'!$T$39+'TUSD BE'!$AB$39+'TUSD BE'!$AD$39+'TUSD BE'!$AL$39</f>
        <v>1567.2847774039728</v>
      </c>
      <c r="AP39" s="20">
        <f ca="1">+'TUSD BE'!$T$39+'TUSD BE'!$AB$39+'TUSD BE'!$AD$39+'TUSD BE'!$AL$39</f>
        <v>1567.2847774039728</v>
      </c>
    </row>
    <row r="40" spans="1:42" ht="11.25" customHeight="1" x14ac:dyDescent="0.3">
      <c r="A40" s="95"/>
      <c r="B40" s="95"/>
      <c r="C40" s="95"/>
      <c r="D40" s="95"/>
      <c r="E40" s="95"/>
      <c r="F40" s="95"/>
      <c r="G40" s="18" t="s">
        <v>72</v>
      </c>
      <c r="H40" s="18" t="s">
        <v>70</v>
      </c>
      <c r="I40" s="18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0">
        <f ca="1">+'TUSD BE'!$T$40+'TUSD BE'!$AB$40+'TUSD BE'!$AD$40+'TUSD BE'!$AL$40</f>
        <v>615.95471732038084</v>
      </c>
      <c r="AP40" s="20">
        <f ca="1">+'TUSD BE'!$T$40+'TUSD BE'!$AB$40+'TUSD BE'!$AD$40+'TUSD BE'!$AL$40</f>
        <v>615.95471732038084</v>
      </c>
    </row>
    <row r="41" spans="1:42" ht="11.25" customHeight="1" x14ac:dyDescent="0.3">
      <c r="A41" s="95"/>
      <c r="B41" s="17" t="s">
        <v>23</v>
      </c>
      <c r="C41" s="17" t="s">
        <v>44</v>
      </c>
      <c r="D41" s="17" t="s">
        <v>87</v>
      </c>
      <c r="E41" s="17" t="s">
        <v>25</v>
      </c>
      <c r="F41" s="17" t="s">
        <v>25</v>
      </c>
      <c r="G41" s="18" t="s">
        <v>74</v>
      </c>
      <c r="H41" s="18" t="s">
        <v>70</v>
      </c>
      <c r="I41" s="18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0">
        <f ca="1">+'TUSD BE'!$T$41+'TUSD BE'!$AB$41+'TUSD BE'!$AD$41+'TUSD BE'!$AL$41</f>
        <v>946.54582943602099</v>
      </c>
      <c r="AP41" s="20">
        <f ca="1">+'TUSD BE'!$T$41+'TUSD BE'!$AB$41+'TUSD BE'!$AD$41+'TUSD BE'!$AL$41</f>
        <v>946.54582943602099</v>
      </c>
    </row>
    <row r="42" spans="1:42" ht="11.25" customHeight="1" x14ac:dyDescent="0.3">
      <c r="A42" s="95"/>
      <c r="B42" s="95" t="s">
        <v>85</v>
      </c>
      <c r="C42" s="95" t="s">
        <v>44</v>
      </c>
      <c r="D42" s="17" t="s">
        <v>25</v>
      </c>
      <c r="E42" s="17" t="s">
        <v>25</v>
      </c>
      <c r="F42" s="17" t="s">
        <v>25</v>
      </c>
      <c r="G42" s="18" t="s">
        <v>74</v>
      </c>
      <c r="H42" s="18" t="s">
        <v>70</v>
      </c>
      <c r="I42" s="18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0">
        <f ca="1">+'TUSD BE'!$T$42+'TUSD BE'!$AB$42+'TUSD BE'!$AD$42+'TUSD BE'!$AL$42</f>
        <v>946.54582943602099</v>
      </c>
      <c r="AP42" s="20">
        <f ca="1">+'TUSD BE'!$T$42+'TUSD BE'!$AB$42+'TUSD BE'!$AD$42+'TUSD BE'!$AL$42</f>
        <v>946.54582943602099</v>
      </c>
    </row>
    <row r="43" spans="1:42" ht="11.25" customHeight="1" x14ac:dyDescent="0.3">
      <c r="A43" s="95"/>
      <c r="B43" s="95"/>
      <c r="C43" s="95"/>
      <c r="D43" s="17" t="s">
        <v>86</v>
      </c>
      <c r="E43" s="17" t="s">
        <v>25</v>
      </c>
      <c r="F43" s="17" t="s">
        <v>25</v>
      </c>
      <c r="G43" s="18" t="s">
        <v>74</v>
      </c>
      <c r="H43" s="18" t="s">
        <v>70</v>
      </c>
      <c r="I43" s="18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0">
        <f ca="1">+'TUSD BE'!$T$43+'TUSD BE'!$AB$43+'TUSD BE'!$AD$43+'TUSD BE'!$AL$43</f>
        <v>946.54582943602099</v>
      </c>
      <c r="AP43" s="20">
        <f ca="1">+'TUSD BE'!$T$43+'TUSD BE'!$AB$43+'TUSD BE'!$AD$43+'TUSD BE'!$AL$43</f>
        <v>946.54582943602099</v>
      </c>
    </row>
    <row r="44" spans="1:42" ht="11.25" customHeight="1" x14ac:dyDescent="0.3">
      <c r="A44" s="95"/>
      <c r="B44" s="95"/>
      <c r="C44" s="95"/>
      <c r="D44" s="17" t="s">
        <v>87</v>
      </c>
      <c r="E44" s="17" t="s">
        <v>25</v>
      </c>
      <c r="F44" s="17" t="s">
        <v>25</v>
      </c>
      <c r="G44" s="18" t="s">
        <v>74</v>
      </c>
      <c r="H44" s="18" t="s">
        <v>70</v>
      </c>
      <c r="I44" s="18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0">
        <f ca="1">+'TUSD BE'!$T$44+'TUSD BE'!$AB$44+'TUSD BE'!$AD$44+'TUSD BE'!$AL$44</f>
        <v>946.54582943602099</v>
      </c>
      <c r="AP44" s="20">
        <f ca="1">+'TUSD BE'!$T$44+'TUSD BE'!$AB$44+'TUSD BE'!$AD$44+'TUSD BE'!$AL$44</f>
        <v>946.54582943602099</v>
      </c>
    </row>
    <row r="45" spans="1:42" ht="11.25" customHeight="1" x14ac:dyDescent="0.3">
      <c r="A45" s="95" t="s">
        <v>35</v>
      </c>
      <c r="B45" s="95" t="s">
        <v>33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71</v>
      </c>
      <c r="H45" s="18" t="s">
        <v>70</v>
      </c>
      <c r="I45" s="18">
        <f>'MERCADO TUSD'!$U$42</f>
        <v>0.746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0">
        <f ca="1">+'TUSD BE'!$T$45+'TUSD BE'!$AB$45+'TUSD BE'!$AD$45+'TUSD BE'!$AL$45</f>
        <v>2921.819073965069</v>
      </c>
      <c r="AP45" s="20">
        <f ca="1">+'TUSD BE'!$T$45+'TUSD BE'!$AB$45+'TUSD BE'!$AD$45+'TUSD BE'!$AL$45</f>
        <v>2921.819073965069</v>
      </c>
    </row>
    <row r="46" spans="1:42" ht="11.25" customHeight="1" x14ac:dyDescent="0.3">
      <c r="A46" s="95"/>
      <c r="B46" s="95"/>
      <c r="C46" s="95"/>
      <c r="D46" s="95"/>
      <c r="E46" s="95"/>
      <c r="F46" s="95"/>
      <c r="G46" s="18" t="s">
        <v>83</v>
      </c>
      <c r="H46" s="18" t="s">
        <v>70</v>
      </c>
      <c r="I46" s="18">
        <f>'MERCADO TUSD'!$U$43</f>
        <v>0.45699999999999996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0">
        <f ca="1">+'TUSD BE'!$T$46+'TUSD BE'!$AB$46+'TUSD BE'!$AD$46+'TUSD BE'!$AL$46</f>
        <v>1809.1766438829093</v>
      </c>
      <c r="AP46" s="20">
        <f ca="1">+'TUSD BE'!$T$46+'TUSD BE'!$AB$46+'TUSD BE'!$AD$46+'TUSD BE'!$AL$46</f>
        <v>1809.1766438829093</v>
      </c>
    </row>
    <row r="47" spans="1:42" ht="11.25" customHeight="1" x14ac:dyDescent="0.3">
      <c r="A47" s="95"/>
      <c r="B47" s="95"/>
      <c r="C47" s="95"/>
      <c r="D47" s="95"/>
      <c r="E47" s="95"/>
      <c r="F47" s="95"/>
      <c r="G47" s="18" t="s">
        <v>72</v>
      </c>
      <c r="H47" s="18" t="s">
        <v>70</v>
      </c>
      <c r="I47" s="18">
        <f>'MERCADO TUSD'!$U$44</f>
        <v>6.4780000000000006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0">
        <f ca="1">+'TUSD BE'!$T$47+'TUSD BE'!$AB$47+'TUSD BE'!$AD$47+'TUSD BE'!$AL$47</f>
        <v>696.61128676156443</v>
      </c>
      <c r="AP47" s="20">
        <f ca="1">+'TUSD BE'!$T$47+'TUSD BE'!$AB$47+'TUSD BE'!$AD$47+'TUSD BE'!$AL$47</f>
        <v>696.61128676156443</v>
      </c>
    </row>
    <row r="48" spans="1:42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74</v>
      </c>
      <c r="H48" s="18" t="s">
        <v>70</v>
      </c>
      <c r="I48" s="18">
        <f>'MERCADO TUSD'!$U$45</f>
        <v>2717.4190000000003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0">
        <f ca="1">+'TUSD BE'!$T$48+'TUSD BE'!$AB$48+'TUSD BE'!$AD$48+'TUSD BE'!$AL$48</f>
        <v>946.54582943602099</v>
      </c>
      <c r="AP48" s="20">
        <f ca="1">+'TUSD BE'!$T$48+'TUSD BE'!$AB$48+'TUSD BE'!$AD$48+'TUSD BE'!$AL$48</f>
        <v>946.54582943602099</v>
      </c>
    </row>
    <row r="49" spans="1:42" ht="11.25" customHeight="1" x14ac:dyDescent="0.3">
      <c r="A49" s="95"/>
      <c r="B49" s="17" t="s">
        <v>85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74</v>
      </c>
      <c r="H49" s="18" t="s">
        <v>70</v>
      </c>
      <c r="I49" s="18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0">
        <f ca="1">+'TUSD BE'!$T$49+'TUSD BE'!$AB$49+'TUSD BE'!$AD$49+'TUSD BE'!$AL$49</f>
        <v>946.54582943602099</v>
      </c>
      <c r="AP49" s="20">
        <f ca="1">+'TUSD BE'!$T$49+'TUSD BE'!$AB$49+'TUSD BE'!$AD$49+'TUSD BE'!$AL$49</f>
        <v>946.54582943602099</v>
      </c>
    </row>
    <row r="50" spans="1:42" ht="11.25" customHeight="1" x14ac:dyDescent="0.3">
      <c r="A50" s="95" t="s">
        <v>46</v>
      </c>
      <c r="B50" s="95" t="s">
        <v>23</v>
      </c>
      <c r="C50" s="95" t="s">
        <v>47</v>
      </c>
      <c r="D50" s="17" t="s">
        <v>48</v>
      </c>
      <c r="E50" s="17" t="s">
        <v>25</v>
      </c>
      <c r="F50" s="17" t="s">
        <v>25</v>
      </c>
      <c r="G50" s="18" t="s">
        <v>74</v>
      </c>
      <c r="H50" s="18" t="s">
        <v>70</v>
      </c>
      <c r="I50" s="18">
        <f>'MERCADO TUSD'!$U$47</f>
        <v>2495.3550000000005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0">
        <f ca="1">+'TUSD BE'!$T$50+'TUSD BE'!$AB$50+'TUSD BE'!$AD$50+'TUSD BE'!$AL$50</f>
        <v>520.60020618981162</v>
      </c>
      <c r="AP50" s="20">
        <f ca="1">+'TUSD BE'!$T$50+'TUSD BE'!$AB$50+'TUSD BE'!$AD$50+'TUSD BE'!$AL$50</f>
        <v>520.60020618981162</v>
      </c>
    </row>
    <row r="51" spans="1:42" ht="11.25" customHeight="1" x14ac:dyDescent="0.3">
      <c r="A51" s="95"/>
      <c r="B51" s="95"/>
      <c r="C51" s="95"/>
      <c r="D51" s="18" t="s">
        <v>49</v>
      </c>
      <c r="E51" s="18" t="s">
        <v>25</v>
      </c>
      <c r="F51" s="18" t="s">
        <v>25</v>
      </c>
      <c r="G51" s="18" t="s">
        <v>74</v>
      </c>
      <c r="H51" s="18" t="s">
        <v>70</v>
      </c>
      <c r="I51" s="18">
        <f>'MERCADO TUSD'!$U$48</f>
        <v>1567.3130000000001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0">
        <f ca="1">+'TUSD BE'!$T$51+'TUSD BE'!$AB$51+'TUSD BE'!$AD$51+'TUSD BE'!$AL$51</f>
        <v>567.92749766161262</v>
      </c>
      <c r="AP51" s="20">
        <f ca="1">+'TUSD BE'!$T$51+'TUSD BE'!$AB$51+'TUSD BE'!$AD$51+'TUSD BE'!$AL$51</f>
        <v>567.92749766161262</v>
      </c>
    </row>
    <row r="53" spans="1:42" ht="11.25" customHeight="1" x14ac:dyDescent="0.3">
      <c r="K53" s="16" t="s">
        <v>609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18">
        <f ca="1">SUMPRODUCT($I$5:$I51,$AO$5:$AO51)</f>
        <v>43116255.993534878</v>
      </c>
      <c r="AP53" s="18">
        <f ca="1">SUMPRODUCT($I$5:$I51,$AP$5:$AP51)</f>
        <v>43116255.993534878</v>
      </c>
    </row>
    <row r="54" spans="1:42" ht="11.25" customHeight="1" x14ac:dyDescent="0.3">
      <c r="K54" s="16" t="s">
        <v>541</v>
      </c>
      <c r="L54" s="13">
        <f>'TR TUSD'!$L$56</f>
        <v>0</v>
      </c>
      <c r="M54" s="13">
        <f>'TR TUSD'!$M$56</f>
        <v>118146.05586998828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4445152.1190699972</v>
      </c>
      <c r="R54" s="13">
        <f>'TR TUSD'!$R$56</f>
        <v>723391.08677999966</v>
      </c>
      <c r="S54" s="13">
        <f>'TR TUSD'!$S$56</f>
        <v>0</v>
      </c>
      <c r="T54" s="13">
        <f>'TR TUSD'!$T$56</f>
        <v>5286689.2617199849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7250869.556640001</v>
      </c>
      <c r="Z54" s="13">
        <f>'TR TUSD'!$Z$56</f>
        <v>0</v>
      </c>
      <c r="AA54" s="13">
        <f>'TR TUSD'!$AA$56</f>
        <v>0</v>
      </c>
      <c r="AB54" s="13">
        <f>'TR TUSD'!$AB$56</f>
        <v>7250869.556640001</v>
      </c>
      <c r="AC54" s="13">
        <f>'TR TUSD'!$AC$56</f>
        <v>29224737.75</v>
      </c>
      <c r="AD54" s="13">
        <f>'TR TUSD'!$AD$56</f>
        <v>29224737.75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1353959.4251748875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1353959.4251748875</v>
      </c>
      <c r="AM54" s="13">
        <f>CUSTOS!$D$29</f>
        <v>43116255.99353487</v>
      </c>
      <c r="AO54" s="18">
        <f>$AE$56</f>
        <v>0</v>
      </c>
      <c r="AP54" s="18">
        <f>$AF$56</f>
        <v>0</v>
      </c>
    </row>
    <row r="55" spans="1:42" ht="11.25" customHeight="1" x14ac:dyDescent="0.3">
      <c r="K55" s="16" t="s">
        <v>542</v>
      </c>
      <c r="L55" s="13">
        <f>CUSTOS!$E$2</f>
        <v>0</v>
      </c>
      <c r="M55" s="13">
        <f>CUSTOS!$E$3</f>
        <v>-1345.2444493490764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-38909.608864024849</v>
      </c>
      <c r="R55" s="13">
        <f>CUSTOS!$E$8</f>
        <v>-6436.7217552921993</v>
      </c>
      <c r="S55" s="13">
        <f>CUSTOS!$E$9</f>
        <v>0</v>
      </c>
      <c r="T55" s="13">
        <f>CUSTOS!$E$10</f>
        <v>-46691.575068666127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-1289202.8707747674</v>
      </c>
      <c r="Z55" s="13">
        <f>CUSTOS!$E$16</f>
        <v>0</v>
      </c>
      <c r="AA55" s="13">
        <f>CUSTOS!$E$17</f>
        <v>0</v>
      </c>
      <c r="AB55" s="13">
        <f>CUSTOS!$E$18</f>
        <v>-1289202.8707747674</v>
      </c>
      <c r="AC55" s="13">
        <f>CUSTOS!$E$19</f>
        <v>-17867394.383257363</v>
      </c>
      <c r="AD55" s="13">
        <f>CUSTOS!$E$20</f>
        <v>-17867394.383257363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-21537.922799824173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-21537.922799824173</v>
      </c>
      <c r="AM55" s="13">
        <f>CUSTOS!$E$29</f>
        <v>-19224826.751900621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3">
      <c r="K56" s="16" t="s">
        <v>543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606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14" priority="55" operator="notEqual">
      <formula>$L$56</formula>
    </cfRule>
    <cfRule type="cellIs" dxfId="713" priority="56" operator="equal">
      <formula>$L$56</formula>
    </cfRule>
  </conditionalFormatting>
  <conditionalFormatting sqref="M53">
    <cfRule type="cellIs" dxfId="712" priority="53" operator="notEqual">
      <formula>$M$56</formula>
    </cfRule>
    <cfRule type="cellIs" dxfId="711" priority="54" operator="equal">
      <formula>$M$56</formula>
    </cfRule>
  </conditionalFormatting>
  <conditionalFormatting sqref="N53">
    <cfRule type="cellIs" dxfId="710" priority="51" operator="notEqual">
      <formula>$N$56</formula>
    </cfRule>
    <cfRule type="cellIs" dxfId="709" priority="52" operator="equal">
      <formula>$N$56</formula>
    </cfRule>
  </conditionalFormatting>
  <conditionalFormatting sqref="O53">
    <cfRule type="cellIs" dxfId="708" priority="49" operator="notEqual">
      <formula>$O$56</formula>
    </cfRule>
    <cfRule type="cellIs" dxfId="707" priority="50" operator="equal">
      <formula>$O$56</formula>
    </cfRule>
  </conditionalFormatting>
  <conditionalFormatting sqref="P53">
    <cfRule type="cellIs" dxfId="706" priority="47" operator="notEqual">
      <formula>$P$56</formula>
    </cfRule>
    <cfRule type="cellIs" dxfId="705" priority="48" operator="equal">
      <formula>$P$56</formula>
    </cfRule>
  </conditionalFormatting>
  <conditionalFormatting sqref="Q53">
    <cfRule type="cellIs" dxfId="704" priority="45" operator="notEqual">
      <formula>$Q$56</formula>
    </cfRule>
    <cfRule type="cellIs" dxfId="703" priority="46" operator="equal">
      <formula>$Q$56</formula>
    </cfRule>
  </conditionalFormatting>
  <conditionalFormatting sqref="R53">
    <cfRule type="cellIs" dxfId="702" priority="43" operator="notEqual">
      <formula>$R$56</formula>
    </cfRule>
    <cfRule type="cellIs" dxfId="701" priority="44" operator="equal">
      <formula>$R$56</formula>
    </cfRule>
  </conditionalFormatting>
  <conditionalFormatting sqref="S53">
    <cfRule type="cellIs" dxfId="700" priority="41" operator="notEqual">
      <formula>$S$56</formula>
    </cfRule>
    <cfRule type="cellIs" dxfId="699" priority="42" operator="equal">
      <formula>$S$56</formula>
    </cfRule>
  </conditionalFormatting>
  <conditionalFormatting sqref="T53">
    <cfRule type="cellIs" dxfId="698" priority="39" operator="notEqual">
      <formula>$T$56</formula>
    </cfRule>
    <cfRule type="cellIs" dxfId="697" priority="40" operator="equal">
      <formula>$T$56</formula>
    </cfRule>
  </conditionalFormatting>
  <conditionalFormatting sqref="U53">
    <cfRule type="cellIs" dxfId="696" priority="37" operator="notEqual">
      <formula>$U$56</formula>
    </cfRule>
    <cfRule type="cellIs" dxfId="695" priority="38" operator="equal">
      <formula>$U$56</formula>
    </cfRule>
  </conditionalFormatting>
  <conditionalFormatting sqref="V53">
    <cfRule type="cellIs" dxfId="694" priority="35" operator="notEqual">
      <formula>$V$56</formula>
    </cfRule>
    <cfRule type="cellIs" dxfId="693" priority="36" operator="equal">
      <formula>$V$56</formula>
    </cfRule>
  </conditionalFormatting>
  <conditionalFormatting sqref="W53">
    <cfRule type="cellIs" dxfId="692" priority="33" operator="notEqual">
      <formula>$W$56</formula>
    </cfRule>
    <cfRule type="cellIs" dxfId="691" priority="34" operator="equal">
      <formula>$W$56</formula>
    </cfRule>
  </conditionalFormatting>
  <conditionalFormatting sqref="X53">
    <cfRule type="cellIs" dxfId="690" priority="31" operator="notEqual">
      <formula>$X$56</formula>
    </cfRule>
    <cfRule type="cellIs" dxfId="689" priority="32" operator="equal">
      <formula>$X$56</formula>
    </cfRule>
  </conditionalFormatting>
  <conditionalFormatting sqref="Y53">
    <cfRule type="cellIs" dxfId="688" priority="29" operator="notEqual">
      <formula>$Y$56</formula>
    </cfRule>
    <cfRule type="cellIs" dxfId="687" priority="30" operator="equal">
      <formula>$Y$56</formula>
    </cfRule>
  </conditionalFormatting>
  <conditionalFormatting sqref="Z53">
    <cfRule type="cellIs" dxfId="686" priority="27" operator="notEqual">
      <formula>$Z$56</formula>
    </cfRule>
    <cfRule type="cellIs" dxfId="685" priority="28" operator="equal">
      <formula>$Z$56</formula>
    </cfRule>
  </conditionalFormatting>
  <conditionalFormatting sqref="AA53">
    <cfRule type="cellIs" dxfId="684" priority="25" operator="notEqual">
      <formula>$AA$56</formula>
    </cfRule>
    <cfRule type="cellIs" dxfId="683" priority="26" operator="equal">
      <formula>$AA$56</formula>
    </cfRule>
  </conditionalFormatting>
  <conditionalFormatting sqref="AB53">
    <cfRule type="cellIs" dxfId="682" priority="23" operator="notEqual">
      <formula>$AB$56</formula>
    </cfRule>
    <cfRule type="cellIs" dxfId="681" priority="24" operator="equal">
      <formula>$AB$56</formula>
    </cfRule>
  </conditionalFormatting>
  <conditionalFormatting sqref="AC53">
    <cfRule type="cellIs" dxfId="680" priority="21" operator="notEqual">
      <formula>$AC$56</formula>
    </cfRule>
    <cfRule type="cellIs" dxfId="679" priority="22" operator="equal">
      <formula>$AC$56</formula>
    </cfRule>
  </conditionalFormatting>
  <conditionalFormatting sqref="AD53">
    <cfRule type="cellIs" dxfId="678" priority="19" operator="notEqual">
      <formula>$AD$56</formula>
    </cfRule>
    <cfRule type="cellIs" dxfId="677" priority="20" operator="equal">
      <formula>$AD$56</formula>
    </cfRule>
  </conditionalFormatting>
  <conditionalFormatting sqref="AE53">
    <cfRule type="cellIs" dxfId="676" priority="17" operator="notEqual">
      <formula>$AE$56</formula>
    </cfRule>
    <cfRule type="cellIs" dxfId="675" priority="18" operator="equal">
      <formula>$AE$56</formula>
    </cfRule>
  </conditionalFormatting>
  <conditionalFormatting sqref="AF53">
    <cfRule type="cellIs" dxfId="674" priority="16" operator="equal">
      <formula>$AF$56</formula>
    </cfRule>
  </conditionalFormatting>
  <conditionalFormatting sqref="AF53">
    <cfRule type="cellIs" dxfId="673" priority="15" operator="notEqual">
      <formula>$AF$56</formula>
    </cfRule>
  </conditionalFormatting>
  <conditionalFormatting sqref="AG53">
    <cfRule type="cellIs" dxfId="672" priority="14" operator="equal">
      <formula>$AG$56</formula>
    </cfRule>
  </conditionalFormatting>
  <conditionalFormatting sqref="AG53">
    <cfRule type="cellIs" dxfId="671" priority="13" operator="notEqual">
      <formula>$AG$56</formula>
    </cfRule>
  </conditionalFormatting>
  <conditionalFormatting sqref="AH53">
    <cfRule type="cellIs" dxfId="670" priority="12" operator="equal">
      <formula>$AH$56</formula>
    </cfRule>
  </conditionalFormatting>
  <conditionalFormatting sqref="AH53">
    <cfRule type="cellIs" dxfId="669" priority="11" operator="notEqual">
      <formula>$AH$56</formula>
    </cfRule>
  </conditionalFormatting>
  <conditionalFormatting sqref="AI53">
    <cfRule type="cellIs" dxfId="668" priority="10" operator="equal">
      <formula>$AI$56</formula>
    </cfRule>
  </conditionalFormatting>
  <conditionalFormatting sqref="AI53">
    <cfRule type="cellIs" dxfId="667" priority="9" operator="notEqual">
      <formula>$AI$56</formula>
    </cfRule>
  </conditionalFormatting>
  <conditionalFormatting sqref="AJ53">
    <cfRule type="cellIs" dxfId="666" priority="8" operator="equal">
      <formula>$AJ$56</formula>
    </cfRule>
  </conditionalFormatting>
  <conditionalFormatting sqref="AJ53">
    <cfRule type="cellIs" dxfId="665" priority="7" operator="notEqual">
      <formula>$AJ$56</formula>
    </cfRule>
  </conditionalFormatting>
  <conditionalFormatting sqref="AK53">
    <cfRule type="cellIs" dxfId="664" priority="6" operator="equal">
      <formula>$AK$56</formula>
    </cfRule>
  </conditionalFormatting>
  <conditionalFormatting sqref="AK53">
    <cfRule type="cellIs" dxfId="663" priority="5" operator="notEqual">
      <formula>$AK$56</formula>
    </cfRule>
  </conditionalFormatting>
  <conditionalFormatting sqref="AL53">
    <cfRule type="cellIs" dxfId="662" priority="4" operator="equal">
      <formula>$AL$56</formula>
    </cfRule>
  </conditionalFormatting>
  <conditionalFormatting sqref="AL53">
    <cfRule type="cellIs" dxfId="661" priority="3" operator="notEqual">
      <formula>$AL$56</formula>
    </cfRule>
  </conditionalFormatting>
  <conditionalFormatting sqref="AM53">
    <cfRule type="cellIs" dxfId="660" priority="2" operator="equal">
      <formula>$AM$56</formula>
    </cfRule>
  </conditionalFormatting>
  <conditionalFormatting sqref="AM53">
    <cfRule type="cellIs" dxfId="659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8F97-F7DF-4D46-B439-2FF6423276C5}">
  <dimension ref="A1:AB50"/>
  <sheetViews>
    <sheetView showGridLines="0" topLeftCell="A32" workbookViewId="0">
      <selection activeCell="K44" sqref="K44:AB50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0" t="s">
        <v>60</v>
      </c>
      <c r="B1" s="100" t="s">
        <v>61</v>
      </c>
      <c r="C1" s="100" t="s">
        <v>62</v>
      </c>
      <c r="D1" s="100" t="s">
        <v>63</v>
      </c>
      <c r="E1" s="100" t="s">
        <v>64</v>
      </c>
      <c r="F1" s="100" t="s">
        <v>15</v>
      </c>
      <c r="G1" s="100" t="s">
        <v>66</v>
      </c>
      <c r="H1" s="100" t="s">
        <v>67</v>
      </c>
      <c r="I1" s="100" t="s">
        <v>600</v>
      </c>
      <c r="J1" s="84"/>
      <c r="L1" s="101" t="s">
        <v>621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101" t="s">
        <v>527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101" t="s">
        <v>500</v>
      </c>
      <c r="M3" s="101"/>
      <c r="N3" s="101"/>
      <c r="O3" s="101"/>
      <c r="P3" s="101"/>
      <c r="Q3" s="101"/>
      <c r="R3" s="101" t="s">
        <v>531</v>
      </c>
      <c r="S3" s="101"/>
      <c r="T3" s="101" t="s">
        <v>509</v>
      </c>
      <c r="U3" s="101"/>
      <c r="V3" s="101"/>
      <c r="W3" s="101"/>
      <c r="X3" s="101" t="s">
        <v>519</v>
      </c>
      <c r="Y3" s="101"/>
      <c r="Z3" s="101" t="s">
        <v>522</v>
      </c>
      <c r="AA3" s="101"/>
      <c r="AB3" s="101" t="s">
        <v>508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502</v>
      </c>
      <c r="M4" s="24" t="s">
        <v>528</v>
      </c>
      <c r="N4" s="24" t="s">
        <v>529</v>
      </c>
      <c r="O4" s="24" t="s">
        <v>588</v>
      </c>
      <c r="P4" s="24" t="s">
        <v>530</v>
      </c>
      <c r="Q4" s="24" t="s">
        <v>508</v>
      </c>
      <c r="R4" s="24" t="s">
        <v>532</v>
      </c>
      <c r="S4" s="24" t="s">
        <v>508</v>
      </c>
      <c r="T4" s="24" t="s">
        <v>533</v>
      </c>
      <c r="U4" s="24" t="s">
        <v>534</v>
      </c>
      <c r="V4" s="24" t="s">
        <v>535</v>
      </c>
      <c r="W4" s="24" t="s">
        <v>508</v>
      </c>
      <c r="X4" s="24" t="s">
        <v>520</v>
      </c>
      <c r="Y4" s="24" t="s">
        <v>508</v>
      </c>
      <c r="Z4" s="24" t="s">
        <v>536</v>
      </c>
      <c r="AA4" s="24" t="s">
        <v>508</v>
      </c>
      <c r="AB4" s="102"/>
    </row>
    <row r="5" spans="1:28" ht="11.25" customHeight="1" x14ac:dyDescent="0.3">
      <c r="A5" s="99" t="s">
        <v>37</v>
      </c>
      <c r="B5" s="99" t="s">
        <v>69</v>
      </c>
      <c r="C5" s="99" t="s">
        <v>25</v>
      </c>
      <c r="D5" s="99" t="s">
        <v>25</v>
      </c>
      <c r="E5" s="99" t="s">
        <v>25</v>
      </c>
      <c r="F5" s="99" t="s">
        <v>25</v>
      </c>
      <c r="G5" s="23" t="s">
        <v>71</v>
      </c>
      <c r="H5" s="23" t="s">
        <v>70</v>
      </c>
      <c r="I5" s="23">
        <f>'MERCADO TE'!$U$2</f>
        <v>497.70600000000002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3">
      <c r="A6" s="99"/>
      <c r="B6" s="99"/>
      <c r="C6" s="99"/>
      <c r="D6" s="99"/>
      <c r="E6" s="99"/>
      <c r="F6" s="99"/>
      <c r="G6" s="23" t="s">
        <v>72</v>
      </c>
      <c r="H6" s="23" t="s">
        <v>70</v>
      </c>
      <c r="I6" s="23">
        <f>'MERCADO TE'!$U$3</f>
        <v>8540.6009999999987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3">
      <c r="A7" s="99"/>
      <c r="B7" s="22" t="s">
        <v>73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74</v>
      </c>
      <c r="H7" s="23" t="s">
        <v>70</v>
      </c>
      <c r="I7" s="23">
        <f>'MERCADO TE'!$U$4</f>
        <v>0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3">
      <c r="A8" s="99" t="s">
        <v>22</v>
      </c>
      <c r="B8" s="99" t="s">
        <v>69</v>
      </c>
      <c r="C8" s="99" t="s">
        <v>24</v>
      </c>
      <c r="D8" s="99" t="s">
        <v>24</v>
      </c>
      <c r="E8" s="99" t="s">
        <v>25</v>
      </c>
      <c r="F8" s="99" t="s">
        <v>25</v>
      </c>
      <c r="G8" s="23" t="s">
        <v>71</v>
      </c>
      <c r="H8" s="23" t="s">
        <v>70</v>
      </c>
      <c r="I8" s="23">
        <f>'MERCADO TE'!$U$5</f>
        <v>0.66799999999999993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3">
      <c r="A9" s="99"/>
      <c r="B9" s="99"/>
      <c r="C9" s="99"/>
      <c r="D9" s="99"/>
      <c r="E9" s="99"/>
      <c r="F9" s="99"/>
      <c r="G9" s="23" t="s">
        <v>83</v>
      </c>
      <c r="H9" s="23" t="s">
        <v>70</v>
      </c>
      <c r="I9" s="23">
        <f>'MERCADO TE'!$U$6</f>
        <v>0.34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3">
      <c r="A10" s="99"/>
      <c r="B10" s="99"/>
      <c r="C10" s="99"/>
      <c r="D10" s="99"/>
      <c r="E10" s="99"/>
      <c r="F10" s="99"/>
      <c r="G10" s="23" t="s">
        <v>72</v>
      </c>
      <c r="H10" s="23" t="s">
        <v>70</v>
      </c>
      <c r="I10" s="23">
        <f>'MERCADO TE'!$U$7</f>
        <v>8.6609999999999996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3">
      <c r="A11" s="99"/>
      <c r="B11" s="99" t="s">
        <v>73</v>
      </c>
      <c r="C11" s="99" t="s">
        <v>24</v>
      </c>
      <c r="D11" s="22" t="s">
        <v>24</v>
      </c>
      <c r="E11" s="22" t="s">
        <v>25</v>
      </c>
      <c r="F11" s="22" t="s">
        <v>25</v>
      </c>
      <c r="G11" s="23" t="s">
        <v>74</v>
      </c>
      <c r="H11" s="23" t="s">
        <v>70</v>
      </c>
      <c r="I11" s="23">
        <f>'MERCADO TE'!$U$8</f>
        <v>15958.987000000001</v>
      </c>
      <c r="J11" s="15"/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/>
      <c r="R11" s="20">
        <v>1</v>
      </c>
      <c r="S11" s="20"/>
      <c r="T11" s="20">
        <v>1</v>
      </c>
      <c r="U11" s="20">
        <v>1</v>
      </c>
      <c r="V11" s="20">
        <v>1</v>
      </c>
      <c r="W11" s="20"/>
      <c r="X11" s="20"/>
      <c r="Y11" s="20"/>
      <c r="Z11" s="20">
        <v>1</v>
      </c>
      <c r="AA11" s="20"/>
      <c r="AB11" s="20"/>
    </row>
    <row r="12" spans="1:28" ht="11.25" customHeight="1" x14ac:dyDescent="0.3">
      <c r="A12" s="99"/>
      <c r="B12" s="99"/>
      <c r="C12" s="99"/>
      <c r="D12" s="22" t="s">
        <v>29</v>
      </c>
      <c r="E12" s="22" t="s">
        <v>25</v>
      </c>
      <c r="F12" s="22" t="s">
        <v>25</v>
      </c>
      <c r="G12" s="23" t="s">
        <v>74</v>
      </c>
      <c r="H12" s="23" t="s">
        <v>70</v>
      </c>
      <c r="I12" s="23">
        <f>'MERCADO TE'!$U$9</f>
        <v>86.132999999999996</v>
      </c>
      <c r="J12" s="15"/>
      <c r="L12" s="20">
        <f>1 - CUSTOS!$M$24</f>
        <v>1</v>
      </c>
      <c r="M12" s="20">
        <f>1 - CUSTOS!$M$24</f>
        <v>1</v>
      </c>
      <c r="N12" s="20">
        <f>1 - CUSTOS!$M$24</f>
        <v>1</v>
      </c>
      <c r="O12" s="20">
        <f>1 - CUSTOS!$M$24</f>
        <v>1</v>
      </c>
      <c r="P12" s="20">
        <f>1 - CUSTOS!$M$24</f>
        <v>1</v>
      </c>
      <c r="Q12" s="20"/>
      <c r="R12" s="20">
        <f>(1 - CUSTOS!$M$24)*1</f>
        <v>1</v>
      </c>
      <c r="S12" s="20"/>
      <c r="T12" s="20">
        <f>1 - CUSTOS!$M$24</f>
        <v>1</v>
      </c>
      <c r="U12" s="20">
        <f>1 - CUSTOS!$M$24</f>
        <v>1</v>
      </c>
      <c r="V12" s="20">
        <f>1 - CUSTOS!$M$24</f>
        <v>1</v>
      </c>
      <c r="W12" s="20"/>
      <c r="X12" s="20"/>
      <c r="Y12" s="20"/>
      <c r="Z12" s="20">
        <f>1 - CUSTOS!$M$24</f>
        <v>1</v>
      </c>
      <c r="AA12" s="20"/>
      <c r="AB12" s="20"/>
    </row>
    <row r="13" spans="1:28" ht="11.25" customHeight="1" x14ac:dyDescent="0.3">
      <c r="A13" s="99"/>
      <c r="B13" s="99"/>
      <c r="C13" s="99"/>
      <c r="D13" s="22" t="s">
        <v>30</v>
      </c>
      <c r="E13" s="22" t="s">
        <v>25</v>
      </c>
      <c r="F13" s="22" t="s">
        <v>25</v>
      </c>
      <c r="G13" s="23" t="s">
        <v>74</v>
      </c>
      <c r="H13" s="23" t="s">
        <v>70</v>
      </c>
      <c r="I13" s="23">
        <f>'MERCADO TE'!$U$10</f>
        <v>172.315</v>
      </c>
      <c r="J13" s="15"/>
      <c r="L13" s="20">
        <f>1 - CUSTOS!$M$25</f>
        <v>1</v>
      </c>
      <c r="M13" s="20">
        <f>1 - CUSTOS!$M$25</f>
        <v>1</v>
      </c>
      <c r="N13" s="20">
        <f>1 - CUSTOS!$M$25</f>
        <v>1</v>
      </c>
      <c r="O13" s="20">
        <f>1 - CUSTOS!$M$25</f>
        <v>1</v>
      </c>
      <c r="P13" s="20">
        <f>1 - CUSTOS!$M$25</f>
        <v>1</v>
      </c>
      <c r="Q13" s="20"/>
      <c r="R13" s="20">
        <f>(1 - CUSTOS!$M$25)*1</f>
        <v>1</v>
      </c>
      <c r="S13" s="20"/>
      <c r="T13" s="20">
        <f>1 - CUSTOS!$M$25</f>
        <v>1</v>
      </c>
      <c r="U13" s="20">
        <f>1 - CUSTOS!$M$25</f>
        <v>1</v>
      </c>
      <c r="V13" s="20">
        <f>1 - CUSTOS!$M$25</f>
        <v>1</v>
      </c>
      <c r="W13" s="20"/>
      <c r="X13" s="20"/>
      <c r="Y13" s="20"/>
      <c r="Z13" s="20">
        <f>1 - CUSTOS!$M$25</f>
        <v>1</v>
      </c>
      <c r="AA13" s="20"/>
      <c r="AB13" s="20"/>
    </row>
    <row r="14" spans="1:28" ht="11.25" customHeight="1" x14ac:dyDescent="0.3">
      <c r="A14" s="99"/>
      <c r="B14" s="99"/>
      <c r="C14" s="99"/>
      <c r="D14" s="22" t="s">
        <v>31</v>
      </c>
      <c r="E14" s="22" t="s">
        <v>25</v>
      </c>
      <c r="F14" s="22" t="s">
        <v>25</v>
      </c>
      <c r="G14" s="23" t="s">
        <v>74</v>
      </c>
      <c r="H14" s="23" t="s">
        <v>70</v>
      </c>
      <c r="I14" s="23">
        <f>'MERCADO TE'!$U$11</f>
        <v>174.131</v>
      </c>
      <c r="J14" s="15"/>
      <c r="L14" s="20">
        <f>1 - CUSTOS!$M$26</f>
        <v>1</v>
      </c>
      <c r="M14" s="20">
        <f>1 - CUSTOS!$M$26</f>
        <v>1</v>
      </c>
      <c r="N14" s="20">
        <f>1 - CUSTOS!$M$26</f>
        <v>1</v>
      </c>
      <c r="O14" s="20">
        <f>1 - CUSTOS!$M$26</f>
        <v>1</v>
      </c>
      <c r="P14" s="20">
        <f>1 - CUSTOS!$M$26</f>
        <v>1</v>
      </c>
      <c r="Q14" s="20"/>
      <c r="R14" s="20">
        <f>(1 - CUSTOS!$M$26)*1</f>
        <v>1</v>
      </c>
      <c r="S14" s="20"/>
      <c r="T14" s="20">
        <f>1 - CUSTOS!$M$26</f>
        <v>1</v>
      </c>
      <c r="U14" s="20">
        <f>1 - CUSTOS!$M$26</f>
        <v>1</v>
      </c>
      <c r="V14" s="20">
        <f>1 - CUSTOS!$M$26</f>
        <v>1</v>
      </c>
      <c r="W14" s="20"/>
      <c r="X14" s="20"/>
      <c r="Y14" s="20"/>
      <c r="Z14" s="20">
        <f>1 - CUSTOS!$M$26</f>
        <v>1</v>
      </c>
      <c r="AA14" s="20"/>
      <c r="AB14" s="20"/>
    </row>
    <row r="15" spans="1:28" ht="11.25" customHeight="1" x14ac:dyDescent="0.3">
      <c r="A15" s="99"/>
      <c r="B15" s="99"/>
      <c r="C15" s="99"/>
      <c r="D15" s="22" t="s">
        <v>32</v>
      </c>
      <c r="E15" s="22" t="s">
        <v>25</v>
      </c>
      <c r="F15" s="22" t="s">
        <v>25</v>
      </c>
      <c r="G15" s="23" t="s">
        <v>74</v>
      </c>
      <c r="H15" s="23" t="s">
        <v>70</v>
      </c>
      <c r="I15" s="23">
        <f>'MERCADO TE'!$U$12</f>
        <v>71.680000000000007</v>
      </c>
      <c r="J15" s="15"/>
      <c r="L15" s="20">
        <f>1 - CUSTOS!$M$27</f>
        <v>1</v>
      </c>
      <c r="M15" s="20">
        <f>1 - CUSTOS!$M$27</f>
        <v>1</v>
      </c>
      <c r="N15" s="20">
        <f>1 - CUSTOS!$M$27</f>
        <v>1</v>
      </c>
      <c r="O15" s="20">
        <f>1 - CUSTOS!$M$27</f>
        <v>1</v>
      </c>
      <c r="P15" s="20">
        <f>1 - CUSTOS!$M$27</f>
        <v>1</v>
      </c>
      <c r="Q15" s="20"/>
      <c r="R15" s="20">
        <f>(1 - CUSTOS!$M$27)*1</f>
        <v>1</v>
      </c>
      <c r="S15" s="20"/>
      <c r="T15" s="20">
        <f>1 - CUSTOS!$M$27</f>
        <v>1</v>
      </c>
      <c r="U15" s="20">
        <f>1 - CUSTOS!$M$27</f>
        <v>1</v>
      </c>
      <c r="V15" s="20">
        <f>1 - CUSTOS!$M$27</f>
        <v>1</v>
      </c>
      <c r="W15" s="20"/>
      <c r="X15" s="20"/>
      <c r="Y15" s="20"/>
      <c r="Z15" s="20">
        <f>1 - CUSTOS!$M$27</f>
        <v>1</v>
      </c>
      <c r="AA15" s="20"/>
      <c r="AB15" s="20"/>
    </row>
    <row r="16" spans="1:28" ht="11.25" customHeight="1" x14ac:dyDescent="0.3">
      <c r="A16" s="99"/>
      <c r="B16" s="99" t="s">
        <v>84</v>
      </c>
      <c r="C16" s="99" t="s">
        <v>24</v>
      </c>
      <c r="D16" s="22" t="s">
        <v>24</v>
      </c>
      <c r="E16" s="22" t="s">
        <v>25</v>
      </c>
      <c r="F16" s="22" t="s">
        <v>25</v>
      </c>
      <c r="G16" s="23" t="s">
        <v>74</v>
      </c>
      <c r="H16" s="23" t="s">
        <v>70</v>
      </c>
      <c r="I16" s="23">
        <f>'MERCADO TE'!$U$13</f>
        <v>0</v>
      </c>
      <c r="J16" s="15"/>
      <c r="L16" s="20">
        <v>1</v>
      </c>
      <c r="M16" s="20">
        <v>1</v>
      </c>
      <c r="N16" s="20">
        <v>1</v>
      </c>
      <c r="O16" s="20">
        <v>1</v>
      </c>
      <c r="P16" s="20">
        <v>1</v>
      </c>
      <c r="Q16" s="20"/>
      <c r="R16" s="20">
        <v>1</v>
      </c>
      <c r="S16" s="20"/>
      <c r="T16" s="20">
        <v>1</v>
      </c>
      <c r="U16" s="20">
        <v>1</v>
      </c>
      <c r="V16" s="20">
        <v>1</v>
      </c>
      <c r="W16" s="20"/>
      <c r="X16" s="20"/>
      <c r="Y16" s="20"/>
      <c r="Z16" s="20">
        <v>1</v>
      </c>
      <c r="AA16" s="20"/>
      <c r="AB16" s="20"/>
    </row>
    <row r="17" spans="1:28" ht="11.25" customHeight="1" x14ac:dyDescent="0.3">
      <c r="A17" s="99"/>
      <c r="B17" s="99"/>
      <c r="C17" s="99"/>
      <c r="D17" s="22" t="s">
        <v>29</v>
      </c>
      <c r="E17" s="22" t="s">
        <v>25</v>
      </c>
      <c r="F17" s="22" t="s">
        <v>25</v>
      </c>
      <c r="G17" s="23" t="s">
        <v>74</v>
      </c>
      <c r="H17" s="23" t="s">
        <v>70</v>
      </c>
      <c r="I17" s="23">
        <f>'MERCADO TE'!$U$14</f>
        <v>0</v>
      </c>
      <c r="J17" s="15"/>
      <c r="L17" s="20">
        <f>1 - CUSTOS!$M$24</f>
        <v>1</v>
      </c>
      <c r="M17" s="20">
        <f>1 - CUSTOS!$M$24</f>
        <v>1</v>
      </c>
      <c r="N17" s="20">
        <f>1 - CUSTOS!$M$24</f>
        <v>1</v>
      </c>
      <c r="O17" s="20">
        <f>1 - CUSTOS!$M$24</f>
        <v>1</v>
      </c>
      <c r="P17" s="20">
        <f>1 - CUSTOS!$M$24</f>
        <v>1</v>
      </c>
      <c r="Q17" s="20"/>
      <c r="R17" s="20">
        <f>(1 - CUSTOS!$M$24)*1</f>
        <v>1</v>
      </c>
      <c r="S17" s="20"/>
      <c r="T17" s="20">
        <f>1 - CUSTOS!$M$24</f>
        <v>1</v>
      </c>
      <c r="U17" s="20">
        <f>1 - CUSTOS!$M$24</f>
        <v>1</v>
      </c>
      <c r="V17" s="20">
        <f>1 - CUSTOS!$M$24</f>
        <v>1</v>
      </c>
      <c r="W17" s="20"/>
      <c r="X17" s="20"/>
      <c r="Y17" s="20"/>
      <c r="Z17" s="20">
        <f>1 - CUSTOS!$M$24</f>
        <v>1</v>
      </c>
      <c r="AA17" s="20"/>
      <c r="AB17" s="20"/>
    </row>
    <row r="18" spans="1:28" ht="11.25" customHeight="1" x14ac:dyDescent="0.3">
      <c r="A18" s="99"/>
      <c r="B18" s="99"/>
      <c r="C18" s="99"/>
      <c r="D18" s="22" t="s">
        <v>30</v>
      </c>
      <c r="E18" s="22" t="s">
        <v>25</v>
      </c>
      <c r="F18" s="22" t="s">
        <v>25</v>
      </c>
      <c r="G18" s="23" t="s">
        <v>74</v>
      </c>
      <c r="H18" s="23" t="s">
        <v>70</v>
      </c>
      <c r="I18" s="23">
        <f>'MERCADO TE'!$U$15</f>
        <v>0</v>
      </c>
      <c r="J18" s="15"/>
      <c r="L18" s="20">
        <f>1 - CUSTOS!$M$25</f>
        <v>1</v>
      </c>
      <c r="M18" s="20">
        <f>1 - CUSTOS!$M$25</f>
        <v>1</v>
      </c>
      <c r="N18" s="20">
        <f>1 - CUSTOS!$M$25</f>
        <v>1</v>
      </c>
      <c r="O18" s="20">
        <f>1 - CUSTOS!$M$25</f>
        <v>1</v>
      </c>
      <c r="P18" s="20">
        <f>1 - CUSTOS!$M$25</f>
        <v>1</v>
      </c>
      <c r="Q18" s="20"/>
      <c r="R18" s="20">
        <f>(1 - CUSTOS!$M$25)*1</f>
        <v>1</v>
      </c>
      <c r="S18" s="20"/>
      <c r="T18" s="20">
        <f>1 - CUSTOS!$M$25</f>
        <v>1</v>
      </c>
      <c r="U18" s="20">
        <f>1 - CUSTOS!$M$25</f>
        <v>1</v>
      </c>
      <c r="V18" s="20">
        <f>1 - CUSTOS!$M$25</f>
        <v>1</v>
      </c>
      <c r="W18" s="20"/>
      <c r="X18" s="20"/>
      <c r="Y18" s="20"/>
      <c r="Z18" s="20">
        <f>1 - CUSTOS!$M$25</f>
        <v>1</v>
      </c>
      <c r="AA18" s="20"/>
      <c r="AB18" s="20"/>
    </row>
    <row r="19" spans="1:28" ht="11.25" customHeight="1" x14ac:dyDescent="0.3">
      <c r="A19" s="99"/>
      <c r="B19" s="99"/>
      <c r="C19" s="99"/>
      <c r="D19" s="22" t="s">
        <v>31</v>
      </c>
      <c r="E19" s="22" t="s">
        <v>25</v>
      </c>
      <c r="F19" s="22" t="s">
        <v>25</v>
      </c>
      <c r="G19" s="23" t="s">
        <v>74</v>
      </c>
      <c r="H19" s="23" t="s">
        <v>70</v>
      </c>
      <c r="I19" s="23">
        <f>'MERCADO TE'!$U$16</f>
        <v>0</v>
      </c>
      <c r="J19" s="15"/>
      <c r="L19" s="20">
        <f>1 - CUSTOS!$M$26</f>
        <v>1</v>
      </c>
      <c r="M19" s="20">
        <f>1 - CUSTOS!$M$26</f>
        <v>1</v>
      </c>
      <c r="N19" s="20">
        <f>1 - CUSTOS!$M$26</f>
        <v>1</v>
      </c>
      <c r="O19" s="20">
        <f>1 - CUSTOS!$M$26</f>
        <v>1</v>
      </c>
      <c r="P19" s="20">
        <f>1 - CUSTOS!$M$26</f>
        <v>1</v>
      </c>
      <c r="Q19" s="20"/>
      <c r="R19" s="20">
        <f>(1 - CUSTOS!$M$26)*1</f>
        <v>1</v>
      </c>
      <c r="S19" s="20"/>
      <c r="T19" s="20">
        <f>1 - CUSTOS!$M$26</f>
        <v>1</v>
      </c>
      <c r="U19" s="20">
        <f>1 - CUSTOS!$M$26</f>
        <v>1</v>
      </c>
      <c r="V19" s="20">
        <f>1 - CUSTOS!$M$26</f>
        <v>1</v>
      </c>
      <c r="W19" s="20"/>
      <c r="X19" s="20"/>
      <c r="Y19" s="20"/>
      <c r="Z19" s="20">
        <f>1 - CUSTOS!$M$26</f>
        <v>1</v>
      </c>
      <c r="AA19" s="20"/>
      <c r="AB19" s="20"/>
    </row>
    <row r="20" spans="1:28" ht="11.25" customHeight="1" x14ac:dyDescent="0.3">
      <c r="A20" s="99"/>
      <c r="B20" s="99"/>
      <c r="C20" s="99"/>
      <c r="D20" s="22" t="s">
        <v>32</v>
      </c>
      <c r="E20" s="22" t="s">
        <v>25</v>
      </c>
      <c r="F20" s="22" t="s">
        <v>25</v>
      </c>
      <c r="G20" s="23" t="s">
        <v>74</v>
      </c>
      <c r="H20" s="23" t="s">
        <v>70</v>
      </c>
      <c r="I20" s="23">
        <f>'MERCADO TE'!$U$17</f>
        <v>0</v>
      </c>
      <c r="J20" s="15"/>
      <c r="L20" s="20">
        <f>1 - CUSTOS!$M$27</f>
        <v>1</v>
      </c>
      <c r="M20" s="20">
        <f>1 - CUSTOS!$M$27</f>
        <v>1</v>
      </c>
      <c r="N20" s="20">
        <f>1 - CUSTOS!$M$27</f>
        <v>1</v>
      </c>
      <c r="O20" s="20">
        <f>1 - CUSTOS!$M$27</f>
        <v>1</v>
      </c>
      <c r="P20" s="20">
        <f>1 - CUSTOS!$M$27</f>
        <v>1</v>
      </c>
      <c r="Q20" s="20"/>
      <c r="R20" s="20">
        <f>(1 - CUSTOS!$M$27)*1</f>
        <v>1</v>
      </c>
      <c r="S20" s="20"/>
      <c r="T20" s="20">
        <f>1 - CUSTOS!$M$27</f>
        <v>1</v>
      </c>
      <c r="U20" s="20">
        <f>1 - CUSTOS!$M$27</f>
        <v>1</v>
      </c>
      <c r="V20" s="20">
        <f>1 - CUSTOS!$M$27</f>
        <v>1</v>
      </c>
      <c r="W20" s="20"/>
      <c r="X20" s="20"/>
      <c r="Y20" s="20"/>
      <c r="Z20" s="20">
        <f>1 - CUSTOS!$M$27</f>
        <v>1</v>
      </c>
      <c r="AA20" s="20"/>
      <c r="AB20" s="20"/>
    </row>
    <row r="21" spans="1:28" ht="11.25" customHeight="1" x14ac:dyDescent="0.3">
      <c r="A21" s="99" t="s">
        <v>43</v>
      </c>
      <c r="B21" s="99" t="s">
        <v>69</v>
      </c>
      <c r="C21" s="99" t="s">
        <v>44</v>
      </c>
      <c r="D21" s="99" t="s">
        <v>25</v>
      </c>
      <c r="E21" s="99" t="s">
        <v>25</v>
      </c>
      <c r="F21" s="99" t="s">
        <v>25</v>
      </c>
      <c r="G21" s="23" t="s">
        <v>71</v>
      </c>
      <c r="H21" s="23" t="s">
        <v>70</v>
      </c>
      <c r="I21" s="23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3">
      <c r="A22" s="99"/>
      <c r="B22" s="99"/>
      <c r="C22" s="99"/>
      <c r="D22" s="99"/>
      <c r="E22" s="99"/>
      <c r="F22" s="99"/>
      <c r="G22" s="23" t="s">
        <v>83</v>
      </c>
      <c r="H22" s="23" t="s">
        <v>70</v>
      </c>
      <c r="I22" s="23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3">
      <c r="A23" s="99"/>
      <c r="B23" s="99"/>
      <c r="C23" s="99"/>
      <c r="D23" s="99"/>
      <c r="E23" s="99"/>
      <c r="F23" s="99"/>
      <c r="G23" s="23" t="s">
        <v>72</v>
      </c>
      <c r="H23" s="23" t="s">
        <v>70</v>
      </c>
      <c r="I23" s="23">
        <f>'MERCADO TE'!$U$20</f>
        <v>0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3">
      <c r="A24" s="99"/>
      <c r="B24" s="22" t="s">
        <v>73</v>
      </c>
      <c r="C24" s="22" t="s">
        <v>44</v>
      </c>
      <c r="D24" s="22" t="s">
        <v>25</v>
      </c>
      <c r="E24" s="22" t="s">
        <v>25</v>
      </c>
      <c r="F24" s="22" t="s">
        <v>25</v>
      </c>
      <c r="G24" s="23" t="s">
        <v>74</v>
      </c>
      <c r="H24" s="23" t="s">
        <v>70</v>
      </c>
      <c r="I24" s="23">
        <f>'MERCADO TE'!$U$21</f>
        <v>19400.674999999996</v>
      </c>
      <c r="J24" s="15"/>
      <c r="L24" s="20">
        <f>1 - CUSTOS!$M$28</f>
        <v>1</v>
      </c>
      <c r="M24" s="20">
        <f>1 - CUSTOS!$M$28</f>
        <v>1</v>
      </c>
      <c r="N24" s="20">
        <f>1 - CUSTOS!$M$28</f>
        <v>1</v>
      </c>
      <c r="O24" s="20">
        <f>1 - CUSTOS!$M$28</f>
        <v>1</v>
      </c>
      <c r="P24" s="20">
        <f>1 - CUSTOS!$M$28</f>
        <v>1</v>
      </c>
      <c r="Q24" s="20"/>
      <c r="R24" s="20">
        <f>(1 - CUSTOS!$M$28)*1</f>
        <v>1</v>
      </c>
      <c r="S24" s="20"/>
      <c r="T24" s="20">
        <f>1 - CUSTOS!$M$28</f>
        <v>1</v>
      </c>
      <c r="U24" s="20">
        <f>1 - CUSTOS!$M$28</f>
        <v>1</v>
      </c>
      <c r="V24" s="20">
        <f>1 - CUSTOS!$M$28</f>
        <v>1</v>
      </c>
      <c r="W24" s="20"/>
      <c r="X24" s="20"/>
      <c r="Y24" s="20"/>
      <c r="Z24" s="20">
        <f>1 - CUSTOS!$M$28</f>
        <v>1</v>
      </c>
      <c r="AA24" s="20"/>
      <c r="AB24" s="20"/>
    </row>
    <row r="25" spans="1:28" ht="11.25" customHeight="1" x14ac:dyDescent="0.3">
      <c r="A25" s="99"/>
      <c r="B25" s="99" t="s">
        <v>69</v>
      </c>
      <c r="C25" s="99" t="s">
        <v>44</v>
      </c>
      <c r="D25" s="99" t="s">
        <v>86</v>
      </c>
      <c r="E25" s="99" t="s">
        <v>25</v>
      </c>
      <c r="F25" s="99" t="s">
        <v>25</v>
      </c>
      <c r="G25" s="23" t="s">
        <v>71</v>
      </c>
      <c r="H25" s="23" t="s">
        <v>70</v>
      </c>
      <c r="I25" s="23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3">
      <c r="A26" s="99"/>
      <c r="B26" s="99"/>
      <c r="C26" s="99"/>
      <c r="D26" s="99"/>
      <c r="E26" s="99"/>
      <c r="F26" s="99"/>
      <c r="G26" s="23" t="s">
        <v>83</v>
      </c>
      <c r="H26" s="23" t="s">
        <v>70</v>
      </c>
      <c r="I26" s="23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3">
      <c r="A27" s="99"/>
      <c r="B27" s="99"/>
      <c r="C27" s="99"/>
      <c r="D27" s="99"/>
      <c r="E27" s="99"/>
      <c r="F27" s="99"/>
      <c r="G27" s="23" t="s">
        <v>72</v>
      </c>
      <c r="H27" s="23" t="s">
        <v>70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3">
      <c r="A28" s="99"/>
      <c r="B28" s="22" t="s">
        <v>73</v>
      </c>
      <c r="C28" s="22" t="s">
        <v>44</v>
      </c>
      <c r="D28" s="22" t="s">
        <v>86</v>
      </c>
      <c r="E28" s="22" t="s">
        <v>25</v>
      </c>
      <c r="F28" s="22" t="s">
        <v>25</v>
      </c>
      <c r="G28" s="23" t="s">
        <v>74</v>
      </c>
      <c r="H28" s="23" t="s">
        <v>70</v>
      </c>
      <c r="I28" s="23">
        <f>'MERCADO TE'!$U$25</f>
        <v>0</v>
      </c>
      <c r="J28" s="15"/>
      <c r="L28" s="20">
        <f>1 - CUSTOS!$M$29</f>
        <v>1</v>
      </c>
      <c r="M28" s="20">
        <f>1 - CUSTOS!$M$29</f>
        <v>1</v>
      </c>
      <c r="N28" s="20">
        <f>1 - CUSTOS!$M$29</f>
        <v>1</v>
      </c>
      <c r="O28" s="20">
        <f>1 - CUSTOS!$M$29</f>
        <v>1</v>
      </c>
      <c r="P28" s="20">
        <f>1 - CUSTOS!$M$29</f>
        <v>1</v>
      </c>
      <c r="Q28" s="20"/>
      <c r="R28" s="20">
        <f>(1 - CUSTOS!$M$29)*1</f>
        <v>1</v>
      </c>
      <c r="S28" s="20"/>
      <c r="T28" s="20">
        <f>1 - CUSTOS!$M$29</f>
        <v>1</v>
      </c>
      <c r="U28" s="20">
        <f>1 - CUSTOS!$M$29</f>
        <v>1</v>
      </c>
      <c r="V28" s="20">
        <f>1 - CUSTOS!$M$29</f>
        <v>1</v>
      </c>
      <c r="W28" s="20"/>
      <c r="X28" s="20"/>
      <c r="Y28" s="20"/>
      <c r="Z28" s="20">
        <f>1 - CUSTOS!$M$29</f>
        <v>1</v>
      </c>
      <c r="AA28" s="20"/>
      <c r="AB28" s="20"/>
    </row>
    <row r="29" spans="1:28" ht="11.25" customHeight="1" x14ac:dyDescent="0.3">
      <c r="A29" s="99"/>
      <c r="B29" s="99" t="s">
        <v>69</v>
      </c>
      <c r="C29" s="99" t="s">
        <v>44</v>
      </c>
      <c r="D29" s="99" t="s">
        <v>87</v>
      </c>
      <c r="E29" s="99" t="s">
        <v>25</v>
      </c>
      <c r="F29" s="99" t="s">
        <v>25</v>
      </c>
      <c r="G29" s="23" t="s">
        <v>71</v>
      </c>
      <c r="H29" s="23" t="s">
        <v>70</v>
      </c>
      <c r="I29" s="23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3">
      <c r="A30" s="99"/>
      <c r="B30" s="99"/>
      <c r="C30" s="99"/>
      <c r="D30" s="99"/>
      <c r="E30" s="99"/>
      <c r="F30" s="99"/>
      <c r="G30" s="23" t="s">
        <v>83</v>
      </c>
      <c r="H30" s="23" t="s">
        <v>70</v>
      </c>
      <c r="I30" s="23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3">
      <c r="A31" s="99"/>
      <c r="B31" s="99"/>
      <c r="C31" s="99"/>
      <c r="D31" s="99"/>
      <c r="E31" s="99"/>
      <c r="F31" s="99"/>
      <c r="G31" s="23" t="s">
        <v>72</v>
      </c>
      <c r="H31" s="23" t="s">
        <v>70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3">
      <c r="A32" s="99"/>
      <c r="B32" s="22" t="s">
        <v>73</v>
      </c>
      <c r="C32" s="22" t="s">
        <v>44</v>
      </c>
      <c r="D32" s="22" t="s">
        <v>87</v>
      </c>
      <c r="E32" s="22" t="s">
        <v>25</v>
      </c>
      <c r="F32" s="22" t="s">
        <v>25</v>
      </c>
      <c r="G32" s="23" t="s">
        <v>74</v>
      </c>
      <c r="H32" s="23" t="s">
        <v>70</v>
      </c>
      <c r="I32" s="23">
        <f>'MERCADO TE'!$U$29</f>
        <v>0</v>
      </c>
      <c r="J32" s="15"/>
      <c r="L32" s="20">
        <f>1 - CUSTOS!$M$30</f>
        <v>1</v>
      </c>
      <c r="M32" s="20">
        <f>1 - CUSTOS!$M$30</f>
        <v>1</v>
      </c>
      <c r="N32" s="20">
        <f>1 - CUSTOS!$M$30</f>
        <v>1</v>
      </c>
      <c r="O32" s="20">
        <f>1 - CUSTOS!$M$30</f>
        <v>1</v>
      </c>
      <c r="P32" s="20">
        <f>1 - CUSTOS!$M$30</f>
        <v>1</v>
      </c>
      <c r="Q32" s="20"/>
      <c r="R32" s="20">
        <f>(1 - CUSTOS!$M$30)*1</f>
        <v>1</v>
      </c>
      <c r="S32" s="20"/>
      <c r="T32" s="20">
        <f>1 - CUSTOS!$M$30</f>
        <v>1</v>
      </c>
      <c r="U32" s="20">
        <f>1 - CUSTOS!$M$30</f>
        <v>1</v>
      </c>
      <c r="V32" s="20">
        <f>1 - CUSTOS!$M$30</f>
        <v>1</v>
      </c>
      <c r="W32" s="20"/>
      <c r="X32" s="20"/>
      <c r="Y32" s="20"/>
      <c r="Z32" s="20">
        <f>1 - CUSTOS!$M$30</f>
        <v>1</v>
      </c>
      <c r="AA32" s="20"/>
      <c r="AB32" s="20"/>
    </row>
    <row r="33" spans="1:28" ht="11.25" customHeight="1" x14ac:dyDescent="0.3">
      <c r="A33" s="99"/>
      <c r="B33" s="99" t="s">
        <v>84</v>
      </c>
      <c r="C33" s="99" t="s">
        <v>44</v>
      </c>
      <c r="D33" s="22" t="s">
        <v>25</v>
      </c>
      <c r="E33" s="22" t="s">
        <v>25</v>
      </c>
      <c r="F33" s="22" t="s">
        <v>25</v>
      </c>
      <c r="G33" s="23" t="s">
        <v>74</v>
      </c>
      <c r="H33" s="23" t="s">
        <v>70</v>
      </c>
      <c r="I33" s="23">
        <f>'MERCADO TE'!$U$30</f>
        <v>0</v>
      </c>
      <c r="J33" s="15"/>
      <c r="L33" s="20">
        <f>1 - CUSTOS!$M$28</f>
        <v>1</v>
      </c>
      <c r="M33" s="20">
        <f>1 - CUSTOS!$M$28</f>
        <v>1</v>
      </c>
      <c r="N33" s="20">
        <f>1 - CUSTOS!$M$28</f>
        <v>1</v>
      </c>
      <c r="O33" s="20">
        <f>1 - CUSTOS!$M$28</f>
        <v>1</v>
      </c>
      <c r="P33" s="20">
        <f>1 - CUSTOS!$M$28</f>
        <v>1</v>
      </c>
      <c r="Q33" s="20"/>
      <c r="R33" s="20">
        <f>(1 - CUSTOS!$M$28)*1</f>
        <v>1</v>
      </c>
      <c r="S33" s="20"/>
      <c r="T33" s="20">
        <f>1 - CUSTOS!$M$28</f>
        <v>1</v>
      </c>
      <c r="U33" s="20">
        <f>1 - CUSTOS!$M$28</f>
        <v>1</v>
      </c>
      <c r="V33" s="20">
        <f>1 - CUSTOS!$M$28</f>
        <v>1</v>
      </c>
      <c r="W33" s="20"/>
      <c r="X33" s="20"/>
      <c r="Y33" s="20"/>
      <c r="Z33" s="20">
        <f>1 - CUSTOS!$M$28</f>
        <v>1</v>
      </c>
      <c r="AA33" s="20"/>
      <c r="AB33" s="20"/>
    </row>
    <row r="34" spans="1:28" ht="11.25" customHeight="1" x14ac:dyDescent="0.3">
      <c r="A34" s="99"/>
      <c r="B34" s="99"/>
      <c r="C34" s="99"/>
      <c r="D34" s="22" t="s">
        <v>86</v>
      </c>
      <c r="E34" s="22" t="s">
        <v>25</v>
      </c>
      <c r="F34" s="22" t="s">
        <v>25</v>
      </c>
      <c r="G34" s="23" t="s">
        <v>74</v>
      </c>
      <c r="H34" s="23" t="s">
        <v>70</v>
      </c>
      <c r="I34" s="23">
        <f>'MERCADO TE'!$U$31</f>
        <v>0</v>
      </c>
      <c r="J34" s="15"/>
      <c r="L34" s="20">
        <f>1 - CUSTOS!$M$29</f>
        <v>1</v>
      </c>
      <c r="M34" s="20">
        <f>1 - CUSTOS!$M$29</f>
        <v>1</v>
      </c>
      <c r="N34" s="20">
        <f>1 - CUSTOS!$M$29</f>
        <v>1</v>
      </c>
      <c r="O34" s="20">
        <f>1 - CUSTOS!$M$29</f>
        <v>1</v>
      </c>
      <c r="P34" s="20">
        <f>1 - CUSTOS!$M$29</f>
        <v>1</v>
      </c>
      <c r="Q34" s="20"/>
      <c r="R34" s="20">
        <f>(1 - CUSTOS!$M$29)*1</f>
        <v>1</v>
      </c>
      <c r="S34" s="20"/>
      <c r="T34" s="20">
        <f>1 - CUSTOS!$M$29</f>
        <v>1</v>
      </c>
      <c r="U34" s="20">
        <f>1 - CUSTOS!$M$29</f>
        <v>1</v>
      </c>
      <c r="V34" s="20">
        <f>1 - CUSTOS!$M$29</f>
        <v>1</v>
      </c>
      <c r="W34" s="20"/>
      <c r="X34" s="20"/>
      <c r="Y34" s="20"/>
      <c r="Z34" s="20">
        <f>1 - CUSTOS!$M$29</f>
        <v>1</v>
      </c>
      <c r="AA34" s="20"/>
      <c r="AB34" s="20"/>
    </row>
    <row r="35" spans="1:28" ht="11.25" customHeight="1" x14ac:dyDescent="0.3">
      <c r="A35" s="99"/>
      <c r="B35" s="99"/>
      <c r="C35" s="99"/>
      <c r="D35" s="22" t="s">
        <v>87</v>
      </c>
      <c r="E35" s="22" t="s">
        <v>25</v>
      </c>
      <c r="F35" s="22" t="s">
        <v>25</v>
      </c>
      <c r="G35" s="23" t="s">
        <v>74</v>
      </c>
      <c r="H35" s="23" t="s">
        <v>70</v>
      </c>
      <c r="I35" s="23">
        <f>'MERCADO TE'!$U$32</f>
        <v>0</v>
      </c>
      <c r="J35" s="15"/>
      <c r="L35" s="20">
        <f>1 - CUSTOS!$M$30</f>
        <v>1</v>
      </c>
      <c r="M35" s="20">
        <f>1 - CUSTOS!$M$30</f>
        <v>1</v>
      </c>
      <c r="N35" s="20">
        <f>1 - CUSTOS!$M$30</f>
        <v>1</v>
      </c>
      <c r="O35" s="20">
        <f>1 - CUSTOS!$M$30</f>
        <v>1</v>
      </c>
      <c r="P35" s="20">
        <f>1 - CUSTOS!$M$30</f>
        <v>1</v>
      </c>
      <c r="Q35" s="20"/>
      <c r="R35" s="20">
        <f>(1 - CUSTOS!$M$30)*1</f>
        <v>1</v>
      </c>
      <c r="S35" s="20"/>
      <c r="T35" s="20">
        <f>1 - CUSTOS!$M$30</f>
        <v>1</v>
      </c>
      <c r="U35" s="20">
        <f>1 - CUSTOS!$M$30</f>
        <v>1</v>
      </c>
      <c r="V35" s="20">
        <f>1 - CUSTOS!$M$30</f>
        <v>1</v>
      </c>
      <c r="W35" s="20"/>
      <c r="X35" s="20"/>
      <c r="Y35" s="20"/>
      <c r="Z35" s="20">
        <f>1 - CUSTOS!$M$30</f>
        <v>1</v>
      </c>
      <c r="AA35" s="20"/>
      <c r="AB35" s="20"/>
    </row>
    <row r="36" spans="1:28" ht="11.25" customHeight="1" x14ac:dyDescent="0.3">
      <c r="A36" s="99" t="s">
        <v>35</v>
      </c>
      <c r="B36" s="99" t="s">
        <v>69</v>
      </c>
      <c r="C36" s="99" t="s">
        <v>25</v>
      </c>
      <c r="D36" s="99" t="s">
        <v>25</v>
      </c>
      <c r="E36" s="99" t="s">
        <v>25</v>
      </c>
      <c r="F36" s="99" t="s">
        <v>25</v>
      </c>
      <c r="G36" s="23" t="s">
        <v>71</v>
      </c>
      <c r="H36" s="23" t="s">
        <v>70</v>
      </c>
      <c r="I36" s="23">
        <f>'MERCADO TE'!$U$33</f>
        <v>0.746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3">
      <c r="A37" s="99"/>
      <c r="B37" s="99"/>
      <c r="C37" s="99"/>
      <c r="D37" s="99"/>
      <c r="E37" s="99"/>
      <c r="F37" s="99"/>
      <c r="G37" s="23" t="s">
        <v>83</v>
      </c>
      <c r="H37" s="23" t="s">
        <v>70</v>
      </c>
      <c r="I37" s="23">
        <f>'MERCADO TE'!$U$34</f>
        <v>0.45699999999999996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3">
      <c r="A38" s="99"/>
      <c r="B38" s="99"/>
      <c r="C38" s="99"/>
      <c r="D38" s="99"/>
      <c r="E38" s="99"/>
      <c r="F38" s="99"/>
      <c r="G38" s="23" t="s">
        <v>72</v>
      </c>
      <c r="H38" s="23" t="s">
        <v>70</v>
      </c>
      <c r="I38" s="23">
        <f>'MERCADO TE'!$U$35</f>
        <v>6.4780000000000006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3">
      <c r="A39" s="99"/>
      <c r="B39" s="22" t="s">
        <v>73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74</v>
      </c>
      <c r="H39" s="23" t="s">
        <v>70</v>
      </c>
      <c r="I39" s="23">
        <f>'MERCADO TE'!$U$36</f>
        <v>2717.4190000000003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3">
      <c r="A40" s="99"/>
      <c r="B40" s="22" t="s">
        <v>84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74</v>
      </c>
      <c r="H40" s="23" t="s">
        <v>70</v>
      </c>
      <c r="I40" s="23">
        <f>'MERCADO TE'!$U$37</f>
        <v>0</v>
      </c>
      <c r="J40" s="15"/>
      <c r="L40" s="20">
        <f>1 - CUSTOS!$M$31</f>
        <v>1</v>
      </c>
      <c r="M40" s="20">
        <f>1 - CUSTOS!$M$31</f>
        <v>1</v>
      </c>
      <c r="N40" s="20">
        <f>1 - CUSTOS!$M$31</f>
        <v>1</v>
      </c>
      <c r="O40" s="20">
        <f>1 - CUSTOS!$M$31</f>
        <v>1</v>
      </c>
      <c r="P40" s="20">
        <f>1 - CUSTOS!$M$31</f>
        <v>1</v>
      </c>
      <c r="Q40" s="20"/>
      <c r="R40" s="20">
        <f>(1 - CUSTOS!$M$31)*1</f>
        <v>1</v>
      </c>
      <c r="S40" s="20"/>
      <c r="T40" s="20">
        <f>1 - CUSTOS!$M$31</f>
        <v>1</v>
      </c>
      <c r="U40" s="20">
        <f>1 - CUSTOS!$M$31</f>
        <v>1</v>
      </c>
      <c r="V40" s="20">
        <f>1 - CUSTOS!$M$31</f>
        <v>1</v>
      </c>
      <c r="W40" s="20"/>
      <c r="X40" s="20"/>
      <c r="Y40" s="20"/>
      <c r="Z40" s="20">
        <f>1 - CUSTOS!$M$31</f>
        <v>1</v>
      </c>
      <c r="AA40" s="20"/>
      <c r="AB40" s="20"/>
    </row>
    <row r="41" spans="1:28" ht="11.25" customHeight="1" x14ac:dyDescent="0.3">
      <c r="A41" s="99" t="s">
        <v>46</v>
      </c>
      <c r="B41" s="99" t="s">
        <v>73</v>
      </c>
      <c r="C41" s="99" t="s">
        <v>47</v>
      </c>
      <c r="D41" s="22" t="s">
        <v>48</v>
      </c>
      <c r="E41" s="22" t="s">
        <v>25</v>
      </c>
      <c r="F41" s="22" t="s">
        <v>25</v>
      </c>
      <c r="G41" s="23" t="s">
        <v>74</v>
      </c>
      <c r="H41" s="23" t="s">
        <v>70</v>
      </c>
      <c r="I41" s="23">
        <f>'MERCADO TE'!$U$38</f>
        <v>2495.3550000000005</v>
      </c>
      <c r="J41" s="15"/>
      <c r="L41" s="20">
        <f>1 - CUSTOS!$M$32</f>
        <v>0.55000000000000004</v>
      </c>
      <c r="M41" s="20">
        <f>1 - CUSTOS!$M$32</f>
        <v>0.55000000000000004</v>
      </c>
      <c r="N41" s="20">
        <f>1 - CUSTOS!$M$32</f>
        <v>0.55000000000000004</v>
      </c>
      <c r="O41" s="20">
        <f>1 - CUSTOS!$M$32</f>
        <v>0.55000000000000004</v>
      </c>
      <c r="P41" s="20">
        <f>1 - CUSTOS!$M$32</f>
        <v>0.55000000000000004</v>
      </c>
      <c r="Q41" s="20"/>
      <c r="R41" s="20">
        <f>(1 - CUSTOS!$M$32)*1</f>
        <v>0.55000000000000004</v>
      </c>
      <c r="S41" s="20"/>
      <c r="T41" s="20">
        <f>1 - CUSTOS!$M$32</f>
        <v>0.55000000000000004</v>
      </c>
      <c r="U41" s="20">
        <f>1 - CUSTOS!$M$32</f>
        <v>0.55000000000000004</v>
      </c>
      <c r="V41" s="20">
        <f>1 - CUSTOS!$M$32</f>
        <v>0.55000000000000004</v>
      </c>
      <c r="W41" s="20"/>
      <c r="X41" s="20"/>
      <c r="Y41" s="20"/>
      <c r="Z41" s="20">
        <f>1 - CUSTOS!$M$32</f>
        <v>0.55000000000000004</v>
      </c>
      <c r="AA41" s="20"/>
      <c r="AB41" s="20"/>
    </row>
    <row r="42" spans="1:28" ht="11.25" customHeight="1" x14ac:dyDescent="0.3">
      <c r="A42" s="99"/>
      <c r="B42" s="99"/>
      <c r="C42" s="99"/>
      <c r="D42" s="23" t="s">
        <v>49</v>
      </c>
      <c r="E42" s="23" t="s">
        <v>25</v>
      </c>
      <c r="F42" s="23" t="s">
        <v>25</v>
      </c>
      <c r="G42" s="23" t="s">
        <v>74</v>
      </c>
      <c r="H42" s="23" t="s">
        <v>70</v>
      </c>
      <c r="I42" s="23">
        <f>'MERCADO TE'!$U$39</f>
        <v>1567.3130000000001</v>
      </c>
      <c r="J42" s="15"/>
      <c r="L42" s="20">
        <f>1 - CUSTOS!$M$33</f>
        <v>0.6</v>
      </c>
      <c r="M42" s="20">
        <f>1 - CUSTOS!$M$33</f>
        <v>0.6</v>
      </c>
      <c r="N42" s="20">
        <f>1 - CUSTOS!$M$33</f>
        <v>0.6</v>
      </c>
      <c r="O42" s="20">
        <f>1 - CUSTOS!$M$33</f>
        <v>0.6</v>
      </c>
      <c r="P42" s="20">
        <f>1 - CUSTOS!$M$33</f>
        <v>0.6</v>
      </c>
      <c r="Q42" s="20"/>
      <c r="R42" s="20">
        <f>(1 - CUSTOS!$M$33)*1</f>
        <v>0.6</v>
      </c>
      <c r="S42" s="20"/>
      <c r="T42" s="20">
        <f>1 - CUSTOS!$M$33</f>
        <v>0.6</v>
      </c>
      <c r="U42" s="20">
        <f>1 - CUSTOS!$M$33</f>
        <v>0.6</v>
      </c>
      <c r="V42" s="20">
        <f>1 - CUSTOS!$M$33</f>
        <v>0.6</v>
      </c>
      <c r="W42" s="20"/>
      <c r="X42" s="20"/>
      <c r="Y42" s="20"/>
      <c r="Z42" s="20">
        <f>1 - CUSTOS!$M$33</f>
        <v>0.6</v>
      </c>
      <c r="AA42" s="20"/>
      <c r="AB42" s="20"/>
    </row>
    <row r="44" spans="1:28" ht="11.25" customHeight="1" x14ac:dyDescent="0.3">
      <c r="K44" s="25" t="s">
        <v>622</v>
      </c>
      <c r="L44" s="20">
        <f t="shared" ref="L44:AB44" si="0">SUMPRODUCT($I$5:$I$42,L$5:L$42)</f>
        <v>49949.830049999997</v>
      </c>
      <c r="M44" s="20">
        <f t="shared" si="0"/>
        <v>49949.830049999997</v>
      </c>
      <c r="N44" s="20">
        <f t="shared" si="0"/>
        <v>49949.830049999997</v>
      </c>
      <c r="O44" s="20">
        <f t="shared" si="0"/>
        <v>49949.830049999997</v>
      </c>
      <c r="P44" s="20">
        <f t="shared" si="0"/>
        <v>49949.830049999997</v>
      </c>
      <c r="Q44" s="20">
        <f t="shared" si="0"/>
        <v>0</v>
      </c>
      <c r="R44" s="20">
        <f t="shared" si="0"/>
        <v>49949.830049999997</v>
      </c>
      <c r="S44" s="20">
        <f t="shared" si="0"/>
        <v>0</v>
      </c>
      <c r="T44" s="20">
        <f t="shared" si="0"/>
        <v>49949.830049999997</v>
      </c>
      <c r="U44" s="20">
        <f t="shared" si="0"/>
        <v>49949.830049999997</v>
      </c>
      <c r="V44" s="20">
        <f t="shared" si="0"/>
        <v>49949.830049999997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49949.830049999997</v>
      </c>
      <c r="AA44" s="20">
        <f t="shared" si="0"/>
        <v>0</v>
      </c>
      <c r="AB44" s="20">
        <f t="shared" si="0"/>
        <v>0</v>
      </c>
    </row>
    <row r="45" spans="1:28" ht="11.25" customHeight="1" x14ac:dyDescent="0.3">
      <c r="K45" s="25" t="s">
        <v>541</v>
      </c>
      <c r="L45" s="20">
        <f>CUSTOS!$D$30</f>
        <v>0</v>
      </c>
      <c r="M45" s="20">
        <f>CUSTOS!$D$31</f>
        <v>0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0</v>
      </c>
      <c r="R45" s="20">
        <f>CUSTOS!$D$36</f>
        <v>8464455.5507126208</v>
      </c>
      <c r="S45" s="20">
        <f>CUSTOS!$D$37</f>
        <v>8464455.5507126208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8464455.5507126208</v>
      </c>
    </row>
    <row r="46" spans="1:28" ht="11.25" customHeight="1" x14ac:dyDescent="0.3">
      <c r="K46" s="25" t="s">
        <v>542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-134647.15914233806</v>
      </c>
      <c r="S46" s="20">
        <f>CUSTOS!$E$37</f>
        <v>-134647.15914233806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-134647.15914233806</v>
      </c>
    </row>
    <row r="47" spans="1:28" ht="11.25" customHeight="1" x14ac:dyDescent="0.3">
      <c r="K47" s="25" t="s">
        <v>543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 s="25" t="s">
        <v>623</v>
      </c>
      <c r="L48" s="20">
        <f>IF(SUMPRODUCT($I$5:$I$42,$L$5:$L$42)&lt;&gt;0,L45/SUMPRODUCT($I$5:$I$42,$L$5:$L$42),0)</f>
        <v>0</v>
      </c>
      <c r="M48" s="20">
        <f>IF(SUMPRODUCT($I$5:$I$42,$M$5:$M$42)&lt;&gt;0,M45/SUMPRODUCT($I$5:$I$42,$M$5:$M$42),0)</f>
        <v>0</v>
      </c>
      <c r="N48" s="20">
        <f>IF(SUMPRODUCT($I$5:$I$42,$N$5:$N$42)&lt;&gt;0,N45/SUMPRODUCT($I$5:$I$42,$N$5:$N$42),0)</f>
        <v>0</v>
      </c>
      <c r="O48" s="20">
        <f>IF(SUMPRODUCT($I$5:$I$42,$O$5:$O$42)&lt;&gt;0,O45/SUMPRODUCT($I$5:$I$42,$O$5:$O$42),0)</f>
        <v>0</v>
      </c>
      <c r="P48" s="20">
        <f>IF(SUMPRODUCT($I$5:$I$42,$P$5:$P$42)&lt;&gt;0,P45/SUMPRODUCT($I$5:$I$42,$P$5:$P$42),0)</f>
        <v>0</v>
      </c>
      <c r="Q48" s="20"/>
      <c r="R48" s="20">
        <f>IF((CUSTOS!$M$12-CUSTOS!$M$13)&lt;&gt;0,(CUSTOS!$M$12*CUSTOS!$M$14)/(CUSTOS!$M$12-CUSTOS!$M$13),0)</f>
        <v>166.14917</v>
      </c>
      <c r="S48" s="20"/>
      <c r="T48" s="20">
        <f>IF(SUMPRODUCT($I$5:$I$42,$T$5:$T$42)&lt;&gt;0,T45/SUMPRODUCT($I$5:$I$42,$T$5:$T$42),0)</f>
        <v>0</v>
      </c>
      <c r="U48" s="20">
        <f>IF(SUMPRODUCT($I$5:$I$42,$U$5:$U$42)&lt;&gt;0,U45/SUMPRODUCT($I$5:$I$42,$U$5:$U$42),0)</f>
        <v>0</v>
      </c>
      <c r="V48" s="20">
        <f>IF(SUMPRODUCT($I$5:$I$42,$V$5:$V$42)&lt;&gt;0,V45/SUMPRODUCT($I$5:$I$42,$V$5:$V$42),0)</f>
        <v>0</v>
      </c>
      <c r="W48" s="20"/>
      <c r="X48" s="20">
        <f>IF(SUMPRODUCT($I$5:$I$42,$X$5:$X$42)&lt;&gt;0,X45/SUMPRODUCT($I$5:$I$42,$X$5:$X$42),0)</f>
        <v>0</v>
      </c>
      <c r="Y48" s="20"/>
      <c r="Z48" s="20">
        <f>IF(SUMPRODUCT($I$5:$I$42,$Z$5:$Z$42)&lt;&gt;0,Z45/SUMPRODUCT($I$5:$I$42,$Z$5:$Z$42),0)</f>
        <v>0</v>
      </c>
      <c r="AA48" s="20"/>
      <c r="AB48" s="20"/>
    </row>
    <row r="49" spans="11:28" ht="11.25" customHeight="1" x14ac:dyDescent="0.3">
      <c r="K49" s="25" t="s">
        <v>624</v>
      </c>
      <c r="L49" s="20">
        <f>IF(L44&lt;&gt;0,(L45-L48*0)/(L44-0),0)</f>
        <v>0</v>
      </c>
      <c r="M49" s="20">
        <f>IF(M44&lt;&gt;0,(M45-M48*0)/(M44-0),0)</f>
        <v>0</v>
      </c>
      <c r="N49" s="20">
        <f>IF(N44&lt;&gt;0,(N45-N48*0)/(N44-0),0)</f>
        <v>0</v>
      </c>
      <c r="O49" s="20">
        <f>IF(O44&lt;&gt;0,(O45-O48*0)/(O44-0),0)</f>
        <v>0</v>
      </c>
      <c r="P49" s="20">
        <f>IF(P44&lt;&gt;0,(P45-P48*0)/(P44-0),0)</f>
        <v>0</v>
      </c>
      <c r="Q49" s="20"/>
      <c r="R49" s="20">
        <f>IF(R44&lt;&gt;0,(R45-R48*0)/(R44-0),0)</f>
        <v>169.45914615204225</v>
      </c>
      <c r="S49" s="20"/>
      <c r="T49" s="20">
        <f>IF(T44&lt;&gt;0,(T45-T48*0)/(T44-0),0)</f>
        <v>0</v>
      </c>
      <c r="U49" s="20">
        <f>IF(U44&lt;&gt;0,(U45-U48*0)/(U44-0),0)</f>
        <v>0</v>
      </c>
      <c r="V49" s="20">
        <f>IF(V44&lt;&gt;0,(V45-V48*0)/(V44-0),0)</f>
        <v>0</v>
      </c>
      <c r="W49" s="20"/>
      <c r="X49" s="20">
        <f>IF(X44&lt;&gt;0,(X45-X48*0)/(X44-0),0)</f>
        <v>0</v>
      </c>
      <c r="Y49" s="20"/>
      <c r="Z49" s="20">
        <f>IF(Z44&lt;&gt;0,(Z45-Z48*0)/(Z44-0),0)</f>
        <v>0</v>
      </c>
      <c r="AA49" s="20"/>
      <c r="AB49" s="20"/>
    </row>
    <row r="50" spans="11:28" ht="11.25" customHeight="1" x14ac:dyDescent="0.3">
      <c r="K50" s="25" t="s">
        <v>625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</sheetData>
  <mergeCells count="61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6:E38"/>
    <mergeCell ref="F36:F38"/>
    <mergeCell ref="A41:A42"/>
    <mergeCell ref="B41:B42"/>
    <mergeCell ref="C41:C42"/>
    <mergeCell ref="B33:B35"/>
    <mergeCell ref="C33:C35"/>
    <mergeCell ref="A36:A40"/>
    <mergeCell ref="B36:B38"/>
    <mergeCell ref="C36:C38"/>
    <mergeCell ref="D36:D38"/>
    <mergeCell ref="F25:F27"/>
    <mergeCell ref="B29:B31"/>
    <mergeCell ref="C29:C31"/>
    <mergeCell ref="D29:D31"/>
    <mergeCell ref="E29:E31"/>
    <mergeCell ref="F29:F31"/>
    <mergeCell ref="A21:A35"/>
    <mergeCell ref="B21:B23"/>
    <mergeCell ref="C21:C23"/>
    <mergeCell ref="D21:D23"/>
    <mergeCell ref="E21:E23"/>
    <mergeCell ref="F21:F23"/>
    <mergeCell ref="B25:B27"/>
    <mergeCell ref="C25:C27"/>
    <mergeCell ref="D25:D27"/>
    <mergeCell ref="E25:E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F5:F6"/>
    <mergeCell ref="A5:A7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DC8D-720E-4163-B066-C31A287875A5}">
  <dimension ref="A1:AB50"/>
  <sheetViews>
    <sheetView showGridLines="0" topLeftCell="P32" workbookViewId="0">
      <selection activeCell="AB44" sqref="AB44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0" t="s">
        <v>60</v>
      </c>
      <c r="B1" s="100" t="s">
        <v>61</v>
      </c>
      <c r="C1" s="100" t="s">
        <v>62</v>
      </c>
      <c r="D1" s="100" t="s">
        <v>63</v>
      </c>
      <c r="E1" s="100" t="s">
        <v>64</v>
      </c>
      <c r="F1" s="100" t="s">
        <v>15</v>
      </c>
      <c r="G1" s="100" t="s">
        <v>66</v>
      </c>
      <c r="H1" s="100" t="s">
        <v>67</v>
      </c>
      <c r="I1" s="100" t="s">
        <v>600</v>
      </c>
      <c r="J1" s="84"/>
      <c r="L1" s="101" t="s">
        <v>626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101" t="s">
        <v>527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101" t="s">
        <v>500</v>
      </c>
      <c r="M3" s="101"/>
      <c r="N3" s="101"/>
      <c r="O3" s="101"/>
      <c r="P3" s="101"/>
      <c r="Q3" s="101"/>
      <c r="R3" s="101" t="s">
        <v>531</v>
      </c>
      <c r="S3" s="101"/>
      <c r="T3" s="101" t="s">
        <v>509</v>
      </c>
      <c r="U3" s="101"/>
      <c r="V3" s="101"/>
      <c r="W3" s="101"/>
      <c r="X3" s="101" t="s">
        <v>519</v>
      </c>
      <c r="Y3" s="101"/>
      <c r="Z3" s="101" t="s">
        <v>522</v>
      </c>
      <c r="AA3" s="101"/>
      <c r="AB3" s="101" t="s">
        <v>508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502</v>
      </c>
      <c r="M4" s="24" t="s">
        <v>528</v>
      </c>
      <c r="N4" s="24" t="s">
        <v>529</v>
      </c>
      <c r="O4" s="24" t="s">
        <v>588</v>
      </c>
      <c r="P4" s="24" t="s">
        <v>530</v>
      </c>
      <c r="Q4" s="24" t="s">
        <v>508</v>
      </c>
      <c r="R4" s="24" t="s">
        <v>532</v>
      </c>
      <c r="S4" s="24" t="s">
        <v>508</v>
      </c>
      <c r="T4" s="24" t="s">
        <v>533</v>
      </c>
      <c r="U4" s="24" t="s">
        <v>534</v>
      </c>
      <c r="V4" s="24" t="s">
        <v>535</v>
      </c>
      <c r="W4" s="24" t="s">
        <v>508</v>
      </c>
      <c r="X4" s="24" t="s">
        <v>520</v>
      </c>
      <c r="Y4" s="24" t="s">
        <v>508</v>
      </c>
      <c r="Z4" s="24" t="s">
        <v>536</v>
      </c>
      <c r="AA4" s="24" t="s">
        <v>508</v>
      </c>
      <c r="AB4" s="102"/>
    </row>
    <row r="5" spans="1:28" ht="11.25" customHeight="1" x14ac:dyDescent="0.3">
      <c r="A5" s="99" t="s">
        <v>37</v>
      </c>
      <c r="B5" s="99" t="s">
        <v>69</v>
      </c>
      <c r="C5" s="99" t="s">
        <v>25</v>
      </c>
      <c r="D5" s="99" t="s">
        <v>25</v>
      </c>
      <c r="E5" s="99" t="s">
        <v>25</v>
      </c>
      <c r="F5" s="99" t="s">
        <v>25</v>
      </c>
      <c r="G5" s="23" t="s">
        <v>71</v>
      </c>
      <c r="H5" s="23" t="s">
        <v>70</v>
      </c>
      <c r="I5" s="23">
        <f>'MERCADO TE'!$U$2</f>
        <v>497.70600000000002</v>
      </c>
      <c r="J5" s="15"/>
      <c r="L5" s="20">
        <f>'TR TE'!$L$5*'TR TE'!$L$49</f>
        <v>0</v>
      </c>
      <c r="M5" s="20">
        <f>'TR TE'!$M$5*'TR TE'!$M$49</f>
        <v>0</v>
      </c>
      <c r="N5" s="20">
        <f>'TR TE'!$N$5*'TR TE'!$N$49</f>
        <v>0</v>
      </c>
      <c r="O5" s="20">
        <f>'TR TE'!$O$5*'TR TE'!$O$49</f>
        <v>0</v>
      </c>
      <c r="P5" s="20">
        <f>'TR TE'!$P$5*'TR TE'!$P$49</f>
        <v>0</v>
      </c>
      <c r="Q5" s="20">
        <f>SUM($L$5:$P$5)</f>
        <v>0</v>
      </c>
      <c r="R5" s="20">
        <f>'TR TE'!$R$5*'TR TE'!$R$49</f>
        <v>169.45914615204225</v>
      </c>
      <c r="S5" s="20">
        <f>SUM($R$5:$R$5)</f>
        <v>169.45914615204225</v>
      </c>
      <c r="T5" s="20">
        <f>'TR TE'!$T$5*'TR TE'!$T$49</f>
        <v>0</v>
      </c>
      <c r="U5" s="20">
        <f>'TR TE'!$U$5*'TR TE'!$U$49</f>
        <v>0</v>
      </c>
      <c r="V5" s="20">
        <f>'TR TE'!$V$5*'TR TE'!$V$49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TE'!$Z$49</f>
        <v>0</v>
      </c>
      <c r="AA5" s="20">
        <f>SUM($Z$5:$Z$5)</f>
        <v>0</v>
      </c>
      <c r="AB5" s="20">
        <f>SUMIF($L$4:$AA$4,"SUBTOTAL",$L$5:$AA$5)</f>
        <v>169.45914615204225</v>
      </c>
    </row>
    <row r="6" spans="1:28" ht="11.25" customHeight="1" x14ac:dyDescent="0.3">
      <c r="A6" s="99"/>
      <c r="B6" s="99"/>
      <c r="C6" s="99"/>
      <c r="D6" s="99"/>
      <c r="E6" s="99"/>
      <c r="F6" s="99"/>
      <c r="G6" s="23" t="s">
        <v>72</v>
      </c>
      <c r="H6" s="23" t="s">
        <v>70</v>
      </c>
      <c r="I6" s="23">
        <f>'MERCADO TE'!$U$3</f>
        <v>8540.6009999999987</v>
      </c>
      <c r="J6" s="15"/>
      <c r="L6" s="20">
        <f>'TR TE'!$L$6*'TR TE'!$L$49</f>
        <v>0</v>
      </c>
      <c r="M6" s="20">
        <f>'TR TE'!$M$6*'TR TE'!$M$49</f>
        <v>0</v>
      </c>
      <c r="N6" s="20">
        <f>'TR TE'!$N$6*'TR TE'!$N$49</f>
        <v>0</v>
      </c>
      <c r="O6" s="20">
        <f>'TR TE'!$O$6*'TR TE'!$O$49</f>
        <v>0</v>
      </c>
      <c r="P6" s="20">
        <f>'TR TE'!$P$6*'TR TE'!$P$49</f>
        <v>0</v>
      </c>
      <c r="Q6" s="20">
        <f>SUM($L$6:$P$6)</f>
        <v>0</v>
      </c>
      <c r="R6" s="20">
        <f>'TR TE'!$R$6*'TR TE'!$R$49</f>
        <v>169.45914615204225</v>
      </c>
      <c r="S6" s="20">
        <f>SUM($R$6:$R$6)</f>
        <v>169.45914615204225</v>
      </c>
      <c r="T6" s="20">
        <f>'TR TE'!$T$6*'TR TE'!$T$49</f>
        <v>0</v>
      </c>
      <c r="U6" s="20">
        <f>'TR TE'!$U$6*'TR TE'!$U$49</f>
        <v>0</v>
      </c>
      <c r="V6" s="20">
        <f>'TR TE'!$V$6*'TR TE'!$V$49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TE'!$Z$49</f>
        <v>0</v>
      </c>
      <c r="AA6" s="20">
        <f>SUM($Z$6:$Z$6)</f>
        <v>0</v>
      </c>
      <c r="AB6" s="20">
        <f>SUMIF($L$4:$AA$4,"SUBTOTAL",$L$6:$AA$6)</f>
        <v>169.45914615204225</v>
      </c>
    </row>
    <row r="7" spans="1:28" ht="11.25" customHeight="1" x14ac:dyDescent="0.3">
      <c r="A7" s="99"/>
      <c r="B7" s="22" t="s">
        <v>73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74</v>
      </c>
      <c r="H7" s="23" t="s">
        <v>70</v>
      </c>
      <c r="I7" s="23">
        <f>'MERCADO TE'!$U$4</f>
        <v>0</v>
      </c>
      <c r="J7" s="15"/>
      <c r="L7" s="20">
        <f>'TR TE'!$L$7*'TR TE'!$L$49</f>
        <v>0</v>
      </c>
      <c r="M7" s="20">
        <f>'TR TE'!$M$7*'TR TE'!$M$49</f>
        <v>0</v>
      </c>
      <c r="N7" s="20">
        <f>'TR TE'!$N$7*'TR TE'!$N$49</f>
        <v>0</v>
      </c>
      <c r="O7" s="20">
        <f>'TR TE'!$O$7*'TR TE'!$O$49</f>
        <v>0</v>
      </c>
      <c r="P7" s="20">
        <f>'TR TE'!$P$7*'TR TE'!$P$49</f>
        <v>0</v>
      </c>
      <c r="Q7" s="20">
        <f>SUM($L$7:$P$7)</f>
        <v>0</v>
      </c>
      <c r="R7" s="20">
        <f>'TR TE'!$R$7*'TR TE'!$R$49</f>
        <v>169.45914615204225</v>
      </c>
      <c r="S7" s="20">
        <f>SUM($R$7:$R$7)</f>
        <v>169.45914615204225</v>
      </c>
      <c r="T7" s="20">
        <f>'TR TE'!$T$7*'TR TE'!$T$49</f>
        <v>0</v>
      </c>
      <c r="U7" s="20">
        <f>'TR TE'!$U$7*'TR TE'!$U$49</f>
        <v>0</v>
      </c>
      <c r="V7" s="20">
        <f>'TR TE'!$V$7*'TR TE'!$V$49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TE'!$Z$49</f>
        <v>0</v>
      </c>
      <c r="AA7" s="20">
        <f>SUM($Z$7:$Z$7)</f>
        <v>0</v>
      </c>
      <c r="AB7" s="20">
        <f>SUMIF($L$4:$AA$4,"SUBTOTAL",$L$7:$AA$7)</f>
        <v>169.45914615204225</v>
      </c>
    </row>
    <row r="8" spans="1:28" ht="11.25" customHeight="1" x14ac:dyDescent="0.3">
      <c r="A8" s="99" t="s">
        <v>22</v>
      </c>
      <c r="B8" s="99" t="s">
        <v>69</v>
      </c>
      <c r="C8" s="99" t="s">
        <v>24</v>
      </c>
      <c r="D8" s="99" t="s">
        <v>24</v>
      </c>
      <c r="E8" s="99" t="s">
        <v>25</v>
      </c>
      <c r="F8" s="99" t="s">
        <v>25</v>
      </c>
      <c r="G8" s="23" t="s">
        <v>71</v>
      </c>
      <c r="H8" s="23" t="s">
        <v>70</v>
      </c>
      <c r="I8" s="23">
        <f>'MERCADO TE'!$U$5</f>
        <v>0.66799999999999993</v>
      </c>
      <c r="J8" s="15"/>
      <c r="L8" s="20">
        <f>'TR TE'!$L$8*'TR TE'!$L$49</f>
        <v>0</v>
      </c>
      <c r="M8" s="20">
        <f>'TR TE'!$M$8*'TR TE'!$M$49</f>
        <v>0</v>
      </c>
      <c r="N8" s="20">
        <f>'TR TE'!$N$8*'TR TE'!$N$49</f>
        <v>0</v>
      </c>
      <c r="O8" s="20">
        <f>'TR TE'!$O$8*'TR TE'!$O$49</f>
        <v>0</v>
      </c>
      <c r="P8" s="20">
        <f>'TR TE'!$P$8*'TR TE'!$P$49</f>
        <v>0</v>
      </c>
      <c r="Q8" s="20">
        <f>SUM($L$8:$P$8)</f>
        <v>0</v>
      </c>
      <c r="R8" s="20">
        <f>'TR TE'!$R$8*'TR TE'!$R$49</f>
        <v>169.45914615204225</v>
      </c>
      <c r="S8" s="20">
        <f>SUM($R$8:$R$8)</f>
        <v>169.45914615204225</v>
      </c>
      <c r="T8" s="20">
        <f>'TR TE'!$T$8*'TR TE'!$T$49</f>
        <v>0</v>
      </c>
      <c r="U8" s="20">
        <f>'TR TE'!$U$8*'TR TE'!$U$49</f>
        <v>0</v>
      </c>
      <c r="V8" s="20">
        <f>'TR TE'!$V$8*'TR TE'!$V$49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TE'!$Z$49</f>
        <v>0</v>
      </c>
      <c r="AA8" s="20">
        <f>SUM($Z$8:$Z$8)</f>
        <v>0</v>
      </c>
      <c r="AB8" s="20">
        <f>SUMIF($L$4:$AA$4,"SUBTOTAL",$L$8:$AA$8)</f>
        <v>169.45914615204225</v>
      </c>
    </row>
    <row r="9" spans="1:28" ht="11.25" customHeight="1" x14ac:dyDescent="0.3">
      <c r="A9" s="99"/>
      <c r="B9" s="99"/>
      <c r="C9" s="99"/>
      <c r="D9" s="99"/>
      <c r="E9" s="99"/>
      <c r="F9" s="99"/>
      <c r="G9" s="23" t="s">
        <v>83</v>
      </c>
      <c r="H9" s="23" t="s">
        <v>70</v>
      </c>
      <c r="I9" s="23">
        <f>'MERCADO TE'!$U$6</f>
        <v>0.34</v>
      </c>
      <c r="J9" s="15"/>
      <c r="L9" s="20">
        <f>'TR TE'!$L$9*'TR TE'!$L$49</f>
        <v>0</v>
      </c>
      <c r="M9" s="20">
        <f>'TR TE'!$M$9*'TR TE'!$M$49</f>
        <v>0</v>
      </c>
      <c r="N9" s="20">
        <f>'TR TE'!$N$9*'TR TE'!$N$49</f>
        <v>0</v>
      </c>
      <c r="O9" s="20">
        <f>'TR TE'!$O$9*'TR TE'!$O$49</f>
        <v>0</v>
      </c>
      <c r="P9" s="20">
        <f>'TR TE'!$P$9*'TR TE'!$P$49</f>
        <v>0</v>
      </c>
      <c r="Q9" s="20">
        <f>SUM($L$9:$P$9)</f>
        <v>0</v>
      </c>
      <c r="R9" s="20">
        <f>'TR TE'!$R$9*'TR TE'!$R$49</f>
        <v>169.45914615204225</v>
      </c>
      <c r="S9" s="20">
        <f>SUM($R$9:$R$9)</f>
        <v>169.45914615204225</v>
      </c>
      <c r="T9" s="20">
        <f>'TR TE'!$T$9*'TR TE'!$T$49</f>
        <v>0</v>
      </c>
      <c r="U9" s="20">
        <f>'TR TE'!$U$9*'TR TE'!$U$49</f>
        <v>0</v>
      </c>
      <c r="V9" s="20">
        <f>'TR TE'!$V$9*'TR TE'!$V$49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TE'!$Z$49</f>
        <v>0</v>
      </c>
      <c r="AA9" s="20">
        <f>SUM($Z$9:$Z$9)</f>
        <v>0</v>
      </c>
      <c r="AB9" s="20">
        <f>SUMIF($L$4:$AA$4,"SUBTOTAL",$L$9:$AA$9)</f>
        <v>169.45914615204225</v>
      </c>
    </row>
    <row r="10" spans="1:28" ht="11.25" customHeight="1" x14ac:dyDescent="0.3">
      <c r="A10" s="99"/>
      <c r="B10" s="99"/>
      <c r="C10" s="99"/>
      <c r="D10" s="99"/>
      <c r="E10" s="99"/>
      <c r="F10" s="99"/>
      <c r="G10" s="23" t="s">
        <v>72</v>
      </c>
      <c r="H10" s="23" t="s">
        <v>70</v>
      </c>
      <c r="I10" s="23">
        <f>'MERCADO TE'!$U$7</f>
        <v>8.6609999999999996</v>
      </c>
      <c r="J10" s="15"/>
      <c r="L10" s="20">
        <f>'TR TE'!$L$10*'TR TE'!$L$49</f>
        <v>0</v>
      </c>
      <c r="M10" s="20">
        <f>'TR TE'!$M$10*'TR TE'!$M$49</f>
        <v>0</v>
      </c>
      <c r="N10" s="20">
        <f>'TR TE'!$N$10*'TR TE'!$N$49</f>
        <v>0</v>
      </c>
      <c r="O10" s="20">
        <f>'TR TE'!$O$10*'TR TE'!$O$49</f>
        <v>0</v>
      </c>
      <c r="P10" s="20">
        <f>'TR TE'!$P$10*'TR TE'!$P$49</f>
        <v>0</v>
      </c>
      <c r="Q10" s="20">
        <f>SUM($L$10:$P$10)</f>
        <v>0</v>
      </c>
      <c r="R10" s="20">
        <f>'TR TE'!$R$10*'TR TE'!$R$49</f>
        <v>169.45914615204225</v>
      </c>
      <c r="S10" s="20">
        <f>SUM($R$10:$R$10)</f>
        <v>169.45914615204225</v>
      </c>
      <c r="T10" s="20">
        <f>'TR TE'!$T$10*'TR TE'!$T$49</f>
        <v>0</v>
      </c>
      <c r="U10" s="20">
        <f>'TR TE'!$U$10*'TR TE'!$U$49</f>
        <v>0</v>
      </c>
      <c r="V10" s="20">
        <f>'TR TE'!$V$10*'TR TE'!$V$49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TE'!$Z$49</f>
        <v>0</v>
      </c>
      <c r="AA10" s="20">
        <f>SUM($Z$10:$Z$10)</f>
        <v>0</v>
      </c>
      <c r="AB10" s="20">
        <f>SUMIF($L$4:$AA$4,"SUBTOTAL",$L$10:$AA$10)</f>
        <v>169.45914615204225</v>
      </c>
    </row>
    <row r="11" spans="1:28" ht="11.25" customHeight="1" x14ac:dyDescent="0.3">
      <c r="A11" s="99"/>
      <c r="B11" s="99" t="s">
        <v>73</v>
      </c>
      <c r="C11" s="99" t="s">
        <v>24</v>
      </c>
      <c r="D11" s="22" t="s">
        <v>24</v>
      </c>
      <c r="E11" s="22" t="s">
        <v>25</v>
      </c>
      <c r="F11" s="22" t="s">
        <v>25</v>
      </c>
      <c r="G11" s="23" t="s">
        <v>74</v>
      </c>
      <c r="H11" s="23" t="s">
        <v>70</v>
      </c>
      <c r="I11" s="23">
        <f>'MERCADO TE'!$U$8</f>
        <v>15958.987000000001</v>
      </c>
      <c r="J11" s="15"/>
      <c r="L11" s="20">
        <f>'TR TE'!$L$11*'TR TE'!$L$49</f>
        <v>0</v>
      </c>
      <c r="M11" s="20">
        <f>'TR TE'!$M$11*'TR TE'!$M$49</f>
        <v>0</v>
      </c>
      <c r="N11" s="20">
        <f>'TR TE'!$N$11*'TR TE'!$N$49</f>
        <v>0</v>
      </c>
      <c r="O11" s="20">
        <f>'TR TE'!$O$11*'TR TE'!$O$49</f>
        <v>0</v>
      </c>
      <c r="P11" s="20">
        <f>'TR TE'!$P$11*'TR TE'!$P$49</f>
        <v>0</v>
      </c>
      <c r="Q11" s="20">
        <f>SUM($L$11:$P$11)</f>
        <v>0</v>
      </c>
      <c r="R11" s="20">
        <f>'TR TE'!$R$11*'TR TE'!$R$49</f>
        <v>169.45914615204225</v>
      </c>
      <c r="S11" s="20">
        <f>SUM($R$11:$R$11)</f>
        <v>169.45914615204225</v>
      </c>
      <c r="T11" s="20">
        <f>'TR TE'!$T$11*'TR TE'!$T$49</f>
        <v>0</v>
      </c>
      <c r="U11" s="20">
        <f>'TR TE'!$U$11*'TR TE'!$U$49</f>
        <v>0</v>
      </c>
      <c r="V11" s="20">
        <f>'TR TE'!$V$11*'TR TE'!$V$49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TE'!$Z$49</f>
        <v>0</v>
      </c>
      <c r="AA11" s="20">
        <f>SUM($Z$11:$Z$11)</f>
        <v>0</v>
      </c>
      <c r="AB11" s="20">
        <f>SUMIF($L$4:$AA$4,"SUBTOTAL",$L$11:$AA$11)</f>
        <v>169.45914615204225</v>
      </c>
    </row>
    <row r="12" spans="1:28" ht="11.25" customHeight="1" x14ac:dyDescent="0.3">
      <c r="A12" s="99"/>
      <c r="B12" s="99"/>
      <c r="C12" s="99"/>
      <c r="D12" s="22" t="s">
        <v>29</v>
      </c>
      <c r="E12" s="22" t="s">
        <v>25</v>
      </c>
      <c r="F12" s="22" t="s">
        <v>25</v>
      </c>
      <c r="G12" s="23" t="s">
        <v>74</v>
      </c>
      <c r="H12" s="23" t="s">
        <v>70</v>
      </c>
      <c r="I12" s="23">
        <f>'MERCADO TE'!$U$9</f>
        <v>86.132999999999996</v>
      </c>
      <c r="J12" s="15"/>
      <c r="L12" s="20">
        <f>'TR TE'!$L$12*'TR TE'!$L$49</f>
        <v>0</v>
      </c>
      <c r="M12" s="20">
        <f>'TR TE'!$M$12*'TR TE'!$M$49</f>
        <v>0</v>
      </c>
      <c r="N12" s="20">
        <f>'TR TE'!$N$12*'TR TE'!$N$49</f>
        <v>0</v>
      </c>
      <c r="O12" s="20">
        <f>'TR TE'!$O$12*'TR TE'!$O$49</f>
        <v>0</v>
      </c>
      <c r="P12" s="20">
        <f>'TR TE'!$P$12*'TR TE'!$P$49</f>
        <v>0</v>
      </c>
      <c r="Q12" s="20">
        <f>SUM($L$12:$P$12)</f>
        <v>0</v>
      </c>
      <c r="R12" s="20">
        <f>'TR TE'!$R$12*'TR TE'!$R$49</f>
        <v>169.45914615204225</v>
      </c>
      <c r="S12" s="20">
        <f>SUM($R$12:$R$12)</f>
        <v>169.45914615204225</v>
      </c>
      <c r="T12" s="20">
        <f>'TR TE'!$T$12*'TR TE'!$T$49</f>
        <v>0</v>
      </c>
      <c r="U12" s="20">
        <f>'TR TE'!$U$12*'TR TE'!$U$49</f>
        <v>0</v>
      </c>
      <c r="V12" s="20">
        <f>'TR TE'!$V$12*'TR TE'!$V$49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TE'!$Z$49</f>
        <v>0</v>
      </c>
      <c r="AA12" s="20">
        <f>SUM($Z$12:$Z$12)</f>
        <v>0</v>
      </c>
      <c r="AB12" s="20">
        <f>SUMIF($L$4:$AA$4,"SUBTOTAL",$L$12:$AA$12)</f>
        <v>169.45914615204225</v>
      </c>
    </row>
    <row r="13" spans="1:28" ht="11.25" customHeight="1" x14ac:dyDescent="0.3">
      <c r="A13" s="99"/>
      <c r="B13" s="99"/>
      <c r="C13" s="99"/>
      <c r="D13" s="22" t="s">
        <v>30</v>
      </c>
      <c r="E13" s="22" t="s">
        <v>25</v>
      </c>
      <c r="F13" s="22" t="s">
        <v>25</v>
      </c>
      <c r="G13" s="23" t="s">
        <v>74</v>
      </c>
      <c r="H13" s="23" t="s">
        <v>70</v>
      </c>
      <c r="I13" s="23">
        <f>'MERCADO TE'!$U$10</f>
        <v>172.315</v>
      </c>
      <c r="J13" s="15"/>
      <c r="L13" s="20">
        <f>'TR TE'!$L$13*'TR TE'!$L$49</f>
        <v>0</v>
      </c>
      <c r="M13" s="20">
        <f>'TR TE'!$M$13*'TR TE'!$M$49</f>
        <v>0</v>
      </c>
      <c r="N13" s="20">
        <f>'TR TE'!$N$13*'TR TE'!$N$49</f>
        <v>0</v>
      </c>
      <c r="O13" s="20">
        <f>'TR TE'!$O$13*'TR TE'!$O$49</f>
        <v>0</v>
      </c>
      <c r="P13" s="20">
        <f>'TR TE'!$P$13*'TR TE'!$P$49</f>
        <v>0</v>
      </c>
      <c r="Q13" s="20">
        <f>SUM($L$13:$P$13)</f>
        <v>0</v>
      </c>
      <c r="R13" s="20">
        <f>'TR TE'!$R$13*'TR TE'!$R$49</f>
        <v>169.45914615204225</v>
      </c>
      <c r="S13" s="20">
        <f>SUM($R$13:$R$13)</f>
        <v>169.45914615204225</v>
      </c>
      <c r="T13" s="20">
        <f>'TR TE'!$T$13*'TR TE'!$T$49</f>
        <v>0</v>
      </c>
      <c r="U13" s="20">
        <f>'TR TE'!$U$13*'TR TE'!$U$49</f>
        <v>0</v>
      </c>
      <c r="V13" s="20">
        <f>'TR TE'!$V$13*'TR TE'!$V$49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TE'!$Z$49</f>
        <v>0</v>
      </c>
      <c r="AA13" s="20">
        <f>SUM($Z$13:$Z$13)</f>
        <v>0</v>
      </c>
      <c r="AB13" s="20">
        <f>SUMIF($L$4:$AA$4,"SUBTOTAL",$L$13:$AA$13)</f>
        <v>169.45914615204225</v>
      </c>
    </row>
    <row r="14" spans="1:28" ht="11.25" customHeight="1" x14ac:dyDescent="0.3">
      <c r="A14" s="99"/>
      <c r="B14" s="99"/>
      <c r="C14" s="99"/>
      <c r="D14" s="22" t="s">
        <v>31</v>
      </c>
      <c r="E14" s="22" t="s">
        <v>25</v>
      </c>
      <c r="F14" s="22" t="s">
        <v>25</v>
      </c>
      <c r="G14" s="23" t="s">
        <v>74</v>
      </c>
      <c r="H14" s="23" t="s">
        <v>70</v>
      </c>
      <c r="I14" s="23">
        <f>'MERCADO TE'!$U$11</f>
        <v>174.131</v>
      </c>
      <c r="J14" s="15"/>
      <c r="L14" s="20">
        <f>'TR TE'!$L$14*'TR TE'!$L$49</f>
        <v>0</v>
      </c>
      <c r="M14" s="20">
        <f>'TR TE'!$M$14*'TR TE'!$M$49</f>
        <v>0</v>
      </c>
      <c r="N14" s="20">
        <f>'TR TE'!$N$14*'TR TE'!$N$49</f>
        <v>0</v>
      </c>
      <c r="O14" s="20">
        <f>'TR TE'!$O$14*'TR TE'!$O$49</f>
        <v>0</v>
      </c>
      <c r="P14" s="20">
        <f>'TR TE'!$P$14*'TR TE'!$P$49</f>
        <v>0</v>
      </c>
      <c r="Q14" s="20">
        <f>SUM($L$14:$P$14)</f>
        <v>0</v>
      </c>
      <c r="R14" s="20">
        <f>'TR TE'!$R$14*'TR TE'!$R$49</f>
        <v>169.45914615204225</v>
      </c>
      <c r="S14" s="20">
        <f>SUM($R$14:$R$14)</f>
        <v>169.45914615204225</v>
      </c>
      <c r="T14" s="20">
        <f>'TR TE'!$T$14*'TR TE'!$T$49</f>
        <v>0</v>
      </c>
      <c r="U14" s="20">
        <f>'TR TE'!$U$14*'TR TE'!$U$49</f>
        <v>0</v>
      </c>
      <c r="V14" s="20">
        <f>'TR TE'!$V$14*'TR TE'!$V$49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TE'!$Z$49</f>
        <v>0</v>
      </c>
      <c r="AA14" s="20">
        <f>SUM($Z$14:$Z$14)</f>
        <v>0</v>
      </c>
      <c r="AB14" s="20">
        <f>SUMIF($L$4:$AA$4,"SUBTOTAL",$L$14:$AA$14)</f>
        <v>169.45914615204225</v>
      </c>
    </row>
    <row r="15" spans="1:28" ht="11.25" customHeight="1" x14ac:dyDescent="0.3">
      <c r="A15" s="99"/>
      <c r="B15" s="99"/>
      <c r="C15" s="99"/>
      <c r="D15" s="22" t="s">
        <v>32</v>
      </c>
      <c r="E15" s="22" t="s">
        <v>25</v>
      </c>
      <c r="F15" s="22" t="s">
        <v>25</v>
      </c>
      <c r="G15" s="23" t="s">
        <v>74</v>
      </c>
      <c r="H15" s="23" t="s">
        <v>70</v>
      </c>
      <c r="I15" s="23">
        <f>'MERCADO TE'!$U$12</f>
        <v>71.680000000000007</v>
      </c>
      <c r="J15" s="15"/>
      <c r="L15" s="20">
        <f>'TR TE'!$L$15*'TR TE'!$L$49</f>
        <v>0</v>
      </c>
      <c r="M15" s="20">
        <f>'TR TE'!$M$15*'TR TE'!$M$49</f>
        <v>0</v>
      </c>
      <c r="N15" s="20">
        <f>'TR TE'!$N$15*'TR TE'!$N$49</f>
        <v>0</v>
      </c>
      <c r="O15" s="20">
        <f>'TR TE'!$O$15*'TR TE'!$O$49</f>
        <v>0</v>
      </c>
      <c r="P15" s="20">
        <f>'TR TE'!$P$15*'TR TE'!$P$49</f>
        <v>0</v>
      </c>
      <c r="Q15" s="20">
        <f>SUM($L$15:$P$15)</f>
        <v>0</v>
      </c>
      <c r="R15" s="20">
        <f>'TR TE'!$R$15*'TR TE'!$R$49</f>
        <v>169.45914615204225</v>
      </c>
      <c r="S15" s="20">
        <f>SUM($R$15:$R$15)</f>
        <v>169.45914615204225</v>
      </c>
      <c r="T15" s="20">
        <f>'TR TE'!$T$15*'TR TE'!$T$49</f>
        <v>0</v>
      </c>
      <c r="U15" s="20">
        <f>'TR TE'!$U$15*'TR TE'!$U$49</f>
        <v>0</v>
      </c>
      <c r="V15" s="20">
        <f>'TR TE'!$V$15*'TR TE'!$V$49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TE'!$Z$49</f>
        <v>0</v>
      </c>
      <c r="AA15" s="20">
        <f>SUM($Z$15:$Z$15)</f>
        <v>0</v>
      </c>
      <c r="AB15" s="20">
        <f>SUMIF($L$4:$AA$4,"SUBTOTAL",$L$15:$AA$15)</f>
        <v>169.45914615204225</v>
      </c>
    </row>
    <row r="16" spans="1:28" ht="11.25" customHeight="1" x14ac:dyDescent="0.3">
      <c r="A16" s="99"/>
      <c r="B16" s="99" t="s">
        <v>84</v>
      </c>
      <c r="C16" s="99" t="s">
        <v>24</v>
      </c>
      <c r="D16" s="22" t="s">
        <v>24</v>
      </c>
      <c r="E16" s="22" t="s">
        <v>25</v>
      </c>
      <c r="F16" s="22" t="s">
        <v>25</v>
      </c>
      <c r="G16" s="23" t="s">
        <v>74</v>
      </c>
      <c r="H16" s="23" t="s">
        <v>70</v>
      </c>
      <c r="I16" s="23">
        <f>'MERCADO TE'!$U$13</f>
        <v>0</v>
      </c>
      <c r="J16" s="15"/>
      <c r="L16" s="20">
        <f>'TR TE'!$L$16*'TR TE'!$L$49</f>
        <v>0</v>
      </c>
      <c r="M16" s="20">
        <f>'TR TE'!$M$16*'TR TE'!$M$49</f>
        <v>0</v>
      </c>
      <c r="N16" s="20">
        <f>'TR TE'!$N$16*'TR TE'!$N$49</f>
        <v>0</v>
      </c>
      <c r="O16" s="20">
        <f>'TR TE'!$O$16*'TR TE'!$O$49</f>
        <v>0</v>
      </c>
      <c r="P16" s="20">
        <f>'TR TE'!$P$16*'TR TE'!$P$49</f>
        <v>0</v>
      </c>
      <c r="Q16" s="20">
        <f>SUM($L$16:$P$16)</f>
        <v>0</v>
      </c>
      <c r="R16" s="20">
        <f>'TR TE'!$R$16*'TR TE'!$R$49</f>
        <v>169.45914615204225</v>
      </c>
      <c r="S16" s="20">
        <f>SUM($R$16:$R$16)</f>
        <v>169.45914615204225</v>
      </c>
      <c r="T16" s="20">
        <f>'TR TE'!$T$16*'TR TE'!$T$49</f>
        <v>0</v>
      </c>
      <c r="U16" s="20">
        <f>'TR TE'!$U$16*'TR TE'!$U$49</f>
        <v>0</v>
      </c>
      <c r="V16" s="20">
        <f>'TR TE'!$V$16*'TR TE'!$V$49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TE'!$Z$49</f>
        <v>0</v>
      </c>
      <c r="AA16" s="20">
        <f>SUM($Z$16:$Z$16)</f>
        <v>0</v>
      </c>
      <c r="AB16" s="20">
        <f>SUMIF($L$4:$AA$4,"SUBTOTAL",$L$16:$AA$16)</f>
        <v>169.45914615204225</v>
      </c>
    </row>
    <row r="17" spans="1:28" ht="11.25" customHeight="1" x14ac:dyDescent="0.3">
      <c r="A17" s="99"/>
      <c r="B17" s="99"/>
      <c r="C17" s="99"/>
      <c r="D17" s="22" t="s">
        <v>29</v>
      </c>
      <c r="E17" s="22" t="s">
        <v>25</v>
      </c>
      <c r="F17" s="22" t="s">
        <v>25</v>
      </c>
      <c r="G17" s="23" t="s">
        <v>74</v>
      </c>
      <c r="H17" s="23" t="s">
        <v>70</v>
      </c>
      <c r="I17" s="23">
        <f>'MERCADO TE'!$U$14</f>
        <v>0</v>
      </c>
      <c r="J17" s="15"/>
      <c r="L17" s="20">
        <f>'TR TE'!$L$17*'TR TE'!$L$49</f>
        <v>0</v>
      </c>
      <c r="M17" s="20">
        <f>'TR TE'!$M$17*'TR TE'!$M$49</f>
        <v>0</v>
      </c>
      <c r="N17" s="20">
        <f>'TR TE'!$N$17*'TR TE'!$N$49</f>
        <v>0</v>
      </c>
      <c r="O17" s="20">
        <f>'TR TE'!$O$17*'TR TE'!$O$49</f>
        <v>0</v>
      </c>
      <c r="P17" s="20">
        <f>'TR TE'!$P$17*'TR TE'!$P$49</f>
        <v>0</v>
      </c>
      <c r="Q17" s="20">
        <f>SUM($L$17:$P$17)</f>
        <v>0</v>
      </c>
      <c r="R17" s="20">
        <f>'TR TE'!$R$17*'TR TE'!$R$49</f>
        <v>169.45914615204225</v>
      </c>
      <c r="S17" s="20">
        <f>SUM($R$17:$R$17)</f>
        <v>169.45914615204225</v>
      </c>
      <c r="T17" s="20">
        <f>'TR TE'!$T$17*'TR TE'!$T$49</f>
        <v>0</v>
      </c>
      <c r="U17" s="20">
        <f>'TR TE'!$U$17*'TR TE'!$U$49</f>
        <v>0</v>
      </c>
      <c r="V17" s="20">
        <f>'TR TE'!$V$17*'TR TE'!$V$49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TE'!$Z$49</f>
        <v>0</v>
      </c>
      <c r="AA17" s="20">
        <f>SUM($Z$17:$Z$17)</f>
        <v>0</v>
      </c>
      <c r="AB17" s="20">
        <f>SUMIF($L$4:$AA$4,"SUBTOTAL",$L$17:$AA$17)</f>
        <v>169.45914615204225</v>
      </c>
    </row>
    <row r="18" spans="1:28" ht="11.25" customHeight="1" x14ac:dyDescent="0.3">
      <c r="A18" s="99"/>
      <c r="B18" s="99"/>
      <c r="C18" s="99"/>
      <c r="D18" s="22" t="s">
        <v>30</v>
      </c>
      <c r="E18" s="22" t="s">
        <v>25</v>
      </c>
      <c r="F18" s="22" t="s">
        <v>25</v>
      </c>
      <c r="G18" s="23" t="s">
        <v>74</v>
      </c>
      <c r="H18" s="23" t="s">
        <v>70</v>
      </c>
      <c r="I18" s="23">
        <f>'MERCADO TE'!$U$15</f>
        <v>0</v>
      </c>
      <c r="J18" s="15"/>
      <c r="L18" s="20">
        <f>'TR TE'!$L$18*'TR TE'!$L$49</f>
        <v>0</v>
      </c>
      <c r="M18" s="20">
        <f>'TR TE'!$M$18*'TR TE'!$M$49</f>
        <v>0</v>
      </c>
      <c r="N18" s="20">
        <f>'TR TE'!$N$18*'TR TE'!$N$49</f>
        <v>0</v>
      </c>
      <c r="O18" s="20">
        <f>'TR TE'!$O$18*'TR TE'!$O$49</f>
        <v>0</v>
      </c>
      <c r="P18" s="20">
        <f>'TR TE'!$P$18*'TR TE'!$P$49</f>
        <v>0</v>
      </c>
      <c r="Q18" s="20">
        <f>SUM($L$18:$P$18)</f>
        <v>0</v>
      </c>
      <c r="R18" s="20">
        <f>'TR TE'!$R$18*'TR TE'!$R$49</f>
        <v>169.45914615204225</v>
      </c>
      <c r="S18" s="20">
        <f>SUM($R$18:$R$18)</f>
        <v>169.45914615204225</v>
      </c>
      <c r="T18" s="20">
        <f>'TR TE'!$T$18*'TR TE'!$T$49</f>
        <v>0</v>
      </c>
      <c r="U18" s="20">
        <f>'TR TE'!$U$18*'TR TE'!$U$49</f>
        <v>0</v>
      </c>
      <c r="V18" s="20">
        <f>'TR TE'!$V$18*'TR TE'!$V$49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TE'!$Z$49</f>
        <v>0</v>
      </c>
      <c r="AA18" s="20">
        <f>SUM($Z$18:$Z$18)</f>
        <v>0</v>
      </c>
      <c r="AB18" s="20">
        <f>SUMIF($L$4:$AA$4,"SUBTOTAL",$L$18:$AA$18)</f>
        <v>169.45914615204225</v>
      </c>
    </row>
    <row r="19" spans="1:28" ht="11.25" customHeight="1" x14ac:dyDescent="0.3">
      <c r="A19" s="99"/>
      <c r="B19" s="99"/>
      <c r="C19" s="99"/>
      <c r="D19" s="22" t="s">
        <v>31</v>
      </c>
      <c r="E19" s="22" t="s">
        <v>25</v>
      </c>
      <c r="F19" s="22" t="s">
        <v>25</v>
      </c>
      <c r="G19" s="23" t="s">
        <v>74</v>
      </c>
      <c r="H19" s="23" t="s">
        <v>70</v>
      </c>
      <c r="I19" s="23">
        <f>'MERCADO TE'!$U$16</f>
        <v>0</v>
      </c>
      <c r="J19" s="15"/>
      <c r="L19" s="20">
        <f>'TR TE'!$L$19*'TR TE'!$L$49</f>
        <v>0</v>
      </c>
      <c r="M19" s="20">
        <f>'TR TE'!$M$19*'TR TE'!$M$49</f>
        <v>0</v>
      </c>
      <c r="N19" s="20">
        <f>'TR TE'!$N$19*'TR TE'!$N$49</f>
        <v>0</v>
      </c>
      <c r="O19" s="20">
        <f>'TR TE'!$O$19*'TR TE'!$O$49</f>
        <v>0</v>
      </c>
      <c r="P19" s="20">
        <f>'TR TE'!$P$19*'TR TE'!$P$49</f>
        <v>0</v>
      </c>
      <c r="Q19" s="20">
        <f>SUM($L$19:$P$19)</f>
        <v>0</v>
      </c>
      <c r="R19" s="20">
        <f>'TR TE'!$R$19*'TR TE'!$R$49</f>
        <v>169.45914615204225</v>
      </c>
      <c r="S19" s="20">
        <f>SUM($R$19:$R$19)</f>
        <v>169.45914615204225</v>
      </c>
      <c r="T19" s="20">
        <f>'TR TE'!$T$19*'TR TE'!$T$49</f>
        <v>0</v>
      </c>
      <c r="U19" s="20">
        <f>'TR TE'!$U$19*'TR TE'!$U$49</f>
        <v>0</v>
      </c>
      <c r="V19" s="20">
        <f>'TR TE'!$V$19*'TR TE'!$V$49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TE'!$Z$49</f>
        <v>0</v>
      </c>
      <c r="AA19" s="20">
        <f>SUM($Z$19:$Z$19)</f>
        <v>0</v>
      </c>
      <c r="AB19" s="20">
        <f>SUMIF($L$4:$AA$4,"SUBTOTAL",$L$19:$AA$19)</f>
        <v>169.45914615204225</v>
      </c>
    </row>
    <row r="20" spans="1:28" ht="11.25" customHeight="1" x14ac:dyDescent="0.3">
      <c r="A20" s="99"/>
      <c r="B20" s="99"/>
      <c r="C20" s="99"/>
      <c r="D20" s="22" t="s">
        <v>32</v>
      </c>
      <c r="E20" s="22" t="s">
        <v>25</v>
      </c>
      <c r="F20" s="22" t="s">
        <v>25</v>
      </c>
      <c r="G20" s="23" t="s">
        <v>74</v>
      </c>
      <c r="H20" s="23" t="s">
        <v>70</v>
      </c>
      <c r="I20" s="23">
        <f>'MERCADO TE'!$U$17</f>
        <v>0</v>
      </c>
      <c r="J20" s="15"/>
      <c r="L20" s="20">
        <f>'TR TE'!$L$20*'TR TE'!$L$49</f>
        <v>0</v>
      </c>
      <c r="M20" s="20">
        <f>'TR TE'!$M$20*'TR TE'!$M$49</f>
        <v>0</v>
      </c>
      <c r="N20" s="20">
        <f>'TR TE'!$N$20*'TR TE'!$N$49</f>
        <v>0</v>
      </c>
      <c r="O20" s="20">
        <f>'TR TE'!$O$20*'TR TE'!$O$49</f>
        <v>0</v>
      </c>
      <c r="P20" s="20">
        <f>'TR TE'!$P$20*'TR TE'!$P$49</f>
        <v>0</v>
      </c>
      <c r="Q20" s="20">
        <f>SUM($L$20:$P$20)</f>
        <v>0</v>
      </c>
      <c r="R20" s="20">
        <f>'TR TE'!$R$20*'TR TE'!$R$49</f>
        <v>169.45914615204225</v>
      </c>
      <c r="S20" s="20">
        <f>SUM($R$20:$R$20)</f>
        <v>169.45914615204225</v>
      </c>
      <c r="T20" s="20">
        <f>'TR TE'!$T$20*'TR TE'!$T$49</f>
        <v>0</v>
      </c>
      <c r="U20" s="20">
        <f>'TR TE'!$U$20*'TR TE'!$U$49</f>
        <v>0</v>
      </c>
      <c r="V20" s="20">
        <f>'TR TE'!$V$20*'TR TE'!$V$49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TE'!$Z$49</f>
        <v>0</v>
      </c>
      <c r="AA20" s="20">
        <f>SUM($Z$20:$Z$20)</f>
        <v>0</v>
      </c>
      <c r="AB20" s="20">
        <f>SUMIF($L$4:$AA$4,"SUBTOTAL",$L$20:$AA$20)</f>
        <v>169.45914615204225</v>
      </c>
    </row>
    <row r="21" spans="1:28" ht="11.25" customHeight="1" x14ac:dyDescent="0.3">
      <c r="A21" s="99" t="s">
        <v>43</v>
      </c>
      <c r="B21" s="99" t="s">
        <v>69</v>
      </c>
      <c r="C21" s="99" t="s">
        <v>44</v>
      </c>
      <c r="D21" s="99" t="s">
        <v>25</v>
      </c>
      <c r="E21" s="99" t="s">
        <v>25</v>
      </c>
      <c r="F21" s="99" t="s">
        <v>25</v>
      </c>
      <c r="G21" s="23" t="s">
        <v>71</v>
      </c>
      <c r="H21" s="23" t="s">
        <v>70</v>
      </c>
      <c r="I21" s="23">
        <f>'MERCADO TE'!$U$18</f>
        <v>0</v>
      </c>
      <c r="J21" s="15"/>
      <c r="L21" s="20">
        <f>'TR TE'!$L$21*'TR TE'!$L$49</f>
        <v>0</v>
      </c>
      <c r="M21" s="20">
        <f>'TR TE'!$M$21*'TR TE'!$M$49</f>
        <v>0</v>
      </c>
      <c r="N21" s="20">
        <f>'TR TE'!$N$21*'TR TE'!$N$49</f>
        <v>0</v>
      </c>
      <c r="O21" s="20">
        <f>'TR TE'!$O$21*'TR TE'!$O$49</f>
        <v>0</v>
      </c>
      <c r="P21" s="20">
        <f>'TR TE'!$P$21*'TR TE'!$P$49</f>
        <v>0</v>
      </c>
      <c r="Q21" s="20">
        <f>SUM($L$21:$P$21)</f>
        <v>0</v>
      </c>
      <c r="R21" s="20">
        <f>'TR TE'!$R$21*'TR TE'!$R$49</f>
        <v>169.45914615204225</v>
      </c>
      <c r="S21" s="20">
        <f>SUM($R$21:$R$21)</f>
        <v>169.45914615204225</v>
      </c>
      <c r="T21" s="20">
        <f>'TR TE'!$T$21*'TR TE'!$T$49</f>
        <v>0</v>
      </c>
      <c r="U21" s="20">
        <f>'TR TE'!$U$21*'TR TE'!$U$49</f>
        <v>0</v>
      </c>
      <c r="V21" s="20">
        <f>'TR TE'!$V$21*'TR TE'!$V$49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TE'!$Z$49</f>
        <v>0</v>
      </c>
      <c r="AA21" s="20">
        <f>SUM($Z$21:$Z$21)</f>
        <v>0</v>
      </c>
      <c r="AB21" s="20">
        <f>SUMIF($L$4:$AA$4,"SUBTOTAL",$L$21:$AA$21)</f>
        <v>169.45914615204225</v>
      </c>
    </row>
    <row r="22" spans="1:28" ht="11.25" customHeight="1" x14ac:dyDescent="0.3">
      <c r="A22" s="99"/>
      <c r="B22" s="99"/>
      <c r="C22" s="99"/>
      <c r="D22" s="99"/>
      <c r="E22" s="99"/>
      <c r="F22" s="99"/>
      <c r="G22" s="23" t="s">
        <v>83</v>
      </c>
      <c r="H22" s="23" t="s">
        <v>70</v>
      </c>
      <c r="I22" s="23">
        <f>'MERCADO TE'!$U$19</f>
        <v>0</v>
      </c>
      <c r="J22" s="15"/>
      <c r="L22" s="20">
        <f>'TR TE'!$L$22*'TR TE'!$L$49</f>
        <v>0</v>
      </c>
      <c r="M22" s="20">
        <f>'TR TE'!$M$22*'TR TE'!$M$49</f>
        <v>0</v>
      </c>
      <c r="N22" s="20">
        <f>'TR TE'!$N$22*'TR TE'!$N$49</f>
        <v>0</v>
      </c>
      <c r="O22" s="20">
        <f>'TR TE'!$O$22*'TR TE'!$O$49</f>
        <v>0</v>
      </c>
      <c r="P22" s="20">
        <f>'TR TE'!$P$22*'TR TE'!$P$49</f>
        <v>0</v>
      </c>
      <c r="Q22" s="20">
        <f>SUM($L$22:$P$22)</f>
        <v>0</v>
      </c>
      <c r="R22" s="20">
        <f>'TR TE'!$R$22*'TR TE'!$R$49</f>
        <v>169.45914615204225</v>
      </c>
      <c r="S22" s="20">
        <f>SUM($R$22:$R$22)</f>
        <v>169.45914615204225</v>
      </c>
      <c r="T22" s="20">
        <f>'TR TE'!$T$22*'TR TE'!$T$49</f>
        <v>0</v>
      </c>
      <c r="U22" s="20">
        <f>'TR TE'!$U$22*'TR TE'!$U$49</f>
        <v>0</v>
      </c>
      <c r="V22" s="20">
        <f>'TR TE'!$V$22*'TR TE'!$V$49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TE'!$Z$49</f>
        <v>0</v>
      </c>
      <c r="AA22" s="20">
        <f>SUM($Z$22:$Z$22)</f>
        <v>0</v>
      </c>
      <c r="AB22" s="20">
        <f>SUMIF($L$4:$AA$4,"SUBTOTAL",$L$22:$AA$22)</f>
        <v>169.45914615204225</v>
      </c>
    </row>
    <row r="23" spans="1:28" ht="11.25" customHeight="1" x14ac:dyDescent="0.3">
      <c r="A23" s="99"/>
      <c r="B23" s="99"/>
      <c r="C23" s="99"/>
      <c r="D23" s="99"/>
      <c r="E23" s="99"/>
      <c r="F23" s="99"/>
      <c r="G23" s="23" t="s">
        <v>72</v>
      </c>
      <c r="H23" s="23" t="s">
        <v>70</v>
      </c>
      <c r="I23" s="23">
        <f>'MERCADO TE'!$U$20</f>
        <v>0</v>
      </c>
      <c r="J23" s="15"/>
      <c r="L23" s="20">
        <f>'TR TE'!$L$23*'TR TE'!$L$49</f>
        <v>0</v>
      </c>
      <c r="M23" s="20">
        <f>'TR TE'!$M$23*'TR TE'!$M$49</f>
        <v>0</v>
      </c>
      <c r="N23" s="20">
        <f>'TR TE'!$N$23*'TR TE'!$N$49</f>
        <v>0</v>
      </c>
      <c r="O23" s="20">
        <f>'TR TE'!$O$23*'TR TE'!$O$49</f>
        <v>0</v>
      </c>
      <c r="P23" s="20">
        <f>'TR TE'!$P$23*'TR TE'!$P$49</f>
        <v>0</v>
      </c>
      <c r="Q23" s="20">
        <f>SUM($L$23:$P$23)</f>
        <v>0</v>
      </c>
      <c r="R23" s="20">
        <f>'TR TE'!$R$23*'TR TE'!$R$49</f>
        <v>169.45914615204225</v>
      </c>
      <c r="S23" s="20">
        <f>SUM($R$23:$R$23)</f>
        <v>169.45914615204225</v>
      </c>
      <c r="T23" s="20">
        <f>'TR TE'!$T$23*'TR TE'!$T$49</f>
        <v>0</v>
      </c>
      <c r="U23" s="20">
        <f>'TR TE'!$U$23*'TR TE'!$U$49</f>
        <v>0</v>
      </c>
      <c r="V23" s="20">
        <f>'TR TE'!$V$23*'TR TE'!$V$49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TE'!$Z$49</f>
        <v>0</v>
      </c>
      <c r="AA23" s="20">
        <f>SUM($Z$23:$Z$23)</f>
        <v>0</v>
      </c>
      <c r="AB23" s="20">
        <f>SUMIF($L$4:$AA$4,"SUBTOTAL",$L$23:$AA$23)</f>
        <v>169.45914615204225</v>
      </c>
    </row>
    <row r="24" spans="1:28" ht="11.25" customHeight="1" x14ac:dyDescent="0.3">
      <c r="A24" s="99"/>
      <c r="B24" s="22" t="s">
        <v>73</v>
      </c>
      <c r="C24" s="22" t="s">
        <v>44</v>
      </c>
      <c r="D24" s="22" t="s">
        <v>25</v>
      </c>
      <c r="E24" s="22" t="s">
        <v>25</v>
      </c>
      <c r="F24" s="22" t="s">
        <v>25</v>
      </c>
      <c r="G24" s="23" t="s">
        <v>74</v>
      </c>
      <c r="H24" s="23" t="s">
        <v>70</v>
      </c>
      <c r="I24" s="23">
        <f>'MERCADO TE'!$U$21</f>
        <v>19400.674999999996</v>
      </c>
      <c r="J24" s="15"/>
      <c r="L24" s="20">
        <f>'TR TE'!$L$24*'TR TE'!$L$49</f>
        <v>0</v>
      </c>
      <c r="M24" s="20">
        <f>'TR TE'!$M$24*'TR TE'!$M$49</f>
        <v>0</v>
      </c>
      <c r="N24" s="20">
        <f>'TR TE'!$N$24*'TR TE'!$N$49</f>
        <v>0</v>
      </c>
      <c r="O24" s="20">
        <f>'TR TE'!$O$24*'TR TE'!$O$49</f>
        <v>0</v>
      </c>
      <c r="P24" s="20">
        <f>'TR TE'!$P$24*'TR TE'!$P$49</f>
        <v>0</v>
      </c>
      <c r="Q24" s="20">
        <f>SUM($L$24:$P$24)</f>
        <v>0</v>
      </c>
      <c r="R24" s="20">
        <f>'TR TE'!$R$24*'TR TE'!$R$49</f>
        <v>169.45914615204225</v>
      </c>
      <c r="S24" s="20">
        <f>SUM($R$24:$R$24)</f>
        <v>169.45914615204225</v>
      </c>
      <c r="T24" s="20">
        <f>'TR TE'!$T$24*'TR TE'!$T$49</f>
        <v>0</v>
      </c>
      <c r="U24" s="20">
        <f>'TR TE'!$U$24*'TR TE'!$U$49</f>
        <v>0</v>
      </c>
      <c r="V24" s="20">
        <f>'TR TE'!$V$24*'TR TE'!$V$49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TE'!$Z$49</f>
        <v>0</v>
      </c>
      <c r="AA24" s="20">
        <f>SUM($Z$24:$Z$24)</f>
        <v>0</v>
      </c>
      <c r="AB24" s="20">
        <f>SUMIF($L$4:$AA$4,"SUBTOTAL",$L$24:$AA$24)</f>
        <v>169.45914615204225</v>
      </c>
    </row>
    <row r="25" spans="1:28" ht="11.25" customHeight="1" x14ac:dyDescent="0.3">
      <c r="A25" s="99"/>
      <c r="B25" s="99" t="s">
        <v>69</v>
      </c>
      <c r="C25" s="99" t="s">
        <v>44</v>
      </c>
      <c r="D25" s="99" t="s">
        <v>86</v>
      </c>
      <c r="E25" s="99" t="s">
        <v>25</v>
      </c>
      <c r="F25" s="99" t="s">
        <v>25</v>
      </c>
      <c r="G25" s="23" t="s">
        <v>71</v>
      </c>
      <c r="H25" s="23" t="s">
        <v>70</v>
      </c>
      <c r="I25" s="23">
        <f>'MERCADO TE'!$U$22</f>
        <v>0</v>
      </c>
      <c r="J25" s="15"/>
      <c r="L25" s="20">
        <f>'TR TE'!$L$25*'TR TE'!$L$49</f>
        <v>0</v>
      </c>
      <c r="M25" s="20">
        <f>'TR TE'!$M$25*'TR TE'!$M$49</f>
        <v>0</v>
      </c>
      <c r="N25" s="20">
        <f>'TR TE'!$N$25*'TR TE'!$N$49</f>
        <v>0</v>
      </c>
      <c r="O25" s="20">
        <f>'TR TE'!$O$25*'TR TE'!$O$49</f>
        <v>0</v>
      </c>
      <c r="P25" s="20">
        <f>'TR TE'!$P$25*'TR TE'!$P$49</f>
        <v>0</v>
      </c>
      <c r="Q25" s="20">
        <f>SUM($L$25:$P$25)</f>
        <v>0</v>
      </c>
      <c r="R25" s="20">
        <f>'TR TE'!$R$25*'TR TE'!$R$49</f>
        <v>169.45914615204225</v>
      </c>
      <c r="S25" s="20">
        <f>SUM($R$25:$R$25)</f>
        <v>169.45914615204225</v>
      </c>
      <c r="T25" s="20">
        <f>'TR TE'!$T$25*'TR TE'!$T$49</f>
        <v>0</v>
      </c>
      <c r="U25" s="20">
        <f>'TR TE'!$U$25*'TR TE'!$U$49</f>
        <v>0</v>
      </c>
      <c r="V25" s="20">
        <f>'TR TE'!$V$25*'TR TE'!$V$49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TE'!$Z$49</f>
        <v>0</v>
      </c>
      <c r="AA25" s="20">
        <f>SUM($Z$25:$Z$25)</f>
        <v>0</v>
      </c>
      <c r="AB25" s="20">
        <f>SUMIF($L$4:$AA$4,"SUBTOTAL",$L$25:$AA$25)</f>
        <v>169.45914615204225</v>
      </c>
    </row>
    <row r="26" spans="1:28" ht="11.25" customHeight="1" x14ac:dyDescent="0.3">
      <c r="A26" s="99"/>
      <c r="B26" s="99"/>
      <c r="C26" s="99"/>
      <c r="D26" s="99"/>
      <c r="E26" s="99"/>
      <c r="F26" s="99"/>
      <c r="G26" s="23" t="s">
        <v>83</v>
      </c>
      <c r="H26" s="23" t="s">
        <v>70</v>
      </c>
      <c r="I26" s="23">
        <f>'MERCADO TE'!$U$23</f>
        <v>0</v>
      </c>
      <c r="J26" s="15"/>
      <c r="L26" s="20">
        <f>'TR TE'!$L$26*'TR TE'!$L$49</f>
        <v>0</v>
      </c>
      <c r="M26" s="20">
        <f>'TR TE'!$M$26*'TR TE'!$M$49</f>
        <v>0</v>
      </c>
      <c r="N26" s="20">
        <f>'TR TE'!$N$26*'TR TE'!$N$49</f>
        <v>0</v>
      </c>
      <c r="O26" s="20">
        <f>'TR TE'!$O$26*'TR TE'!$O$49</f>
        <v>0</v>
      </c>
      <c r="P26" s="20">
        <f>'TR TE'!$P$26*'TR TE'!$P$49</f>
        <v>0</v>
      </c>
      <c r="Q26" s="20">
        <f>SUM($L$26:$P$26)</f>
        <v>0</v>
      </c>
      <c r="R26" s="20">
        <f>'TR TE'!$R$26*'TR TE'!$R$49</f>
        <v>169.45914615204225</v>
      </c>
      <c r="S26" s="20">
        <f>SUM($R$26:$R$26)</f>
        <v>169.45914615204225</v>
      </c>
      <c r="T26" s="20">
        <f>'TR TE'!$T$26*'TR TE'!$T$49</f>
        <v>0</v>
      </c>
      <c r="U26" s="20">
        <f>'TR TE'!$U$26*'TR TE'!$U$49</f>
        <v>0</v>
      </c>
      <c r="V26" s="20">
        <f>'TR TE'!$V$26*'TR TE'!$V$49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TE'!$Z$49</f>
        <v>0</v>
      </c>
      <c r="AA26" s="20">
        <f>SUM($Z$26:$Z$26)</f>
        <v>0</v>
      </c>
      <c r="AB26" s="20">
        <f>SUMIF($L$4:$AA$4,"SUBTOTAL",$L$26:$AA$26)</f>
        <v>169.45914615204225</v>
      </c>
    </row>
    <row r="27" spans="1:28" ht="11.25" customHeight="1" x14ac:dyDescent="0.3">
      <c r="A27" s="99"/>
      <c r="B27" s="99"/>
      <c r="C27" s="99"/>
      <c r="D27" s="99"/>
      <c r="E27" s="99"/>
      <c r="F27" s="99"/>
      <c r="G27" s="23" t="s">
        <v>72</v>
      </c>
      <c r="H27" s="23" t="s">
        <v>70</v>
      </c>
      <c r="I27" s="23">
        <f>'MERCADO TE'!$U$24</f>
        <v>0</v>
      </c>
      <c r="J27" s="15"/>
      <c r="L27" s="20">
        <f>'TR TE'!$L$27*'TR TE'!$L$49</f>
        <v>0</v>
      </c>
      <c r="M27" s="20">
        <f>'TR TE'!$M$27*'TR TE'!$M$49</f>
        <v>0</v>
      </c>
      <c r="N27" s="20">
        <f>'TR TE'!$N$27*'TR TE'!$N$49</f>
        <v>0</v>
      </c>
      <c r="O27" s="20">
        <f>'TR TE'!$O$27*'TR TE'!$O$49</f>
        <v>0</v>
      </c>
      <c r="P27" s="20">
        <f>'TR TE'!$P$27*'TR TE'!$P$49</f>
        <v>0</v>
      </c>
      <c r="Q27" s="20">
        <f>SUM($L$27:$P$27)</f>
        <v>0</v>
      </c>
      <c r="R27" s="20">
        <f>'TR TE'!$R$27*'TR TE'!$R$49</f>
        <v>169.45914615204225</v>
      </c>
      <c r="S27" s="20">
        <f>SUM($R$27:$R$27)</f>
        <v>169.45914615204225</v>
      </c>
      <c r="T27" s="20">
        <f>'TR TE'!$T$27*'TR TE'!$T$49</f>
        <v>0</v>
      </c>
      <c r="U27" s="20">
        <f>'TR TE'!$U$27*'TR TE'!$U$49</f>
        <v>0</v>
      </c>
      <c r="V27" s="20">
        <f>'TR TE'!$V$27*'TR TE'!$V$49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TE'!$Z$49</f>
        <v>0</v>
      </c>
      <c r="AA27" s="20">
        <f>SUM($Z$27:$Z$27)</f>
        <v>0</v>
      </c>
      <c r="AB27" s="20">
        <f>SUMIF($L$4:$AA$4,"SUBTOTAL",$L$27:$AA$27)</f>
        <v>169.45914615204225</v>
      </c>
    </row>
    <row r="28" spans="1:28" ht="11.25" customHeight="1" x14ac:dyDescent="0.3">
      <c r="A28" s="99"/>
      <c r="B28" s="22" t="s">
        <v>73</v>
      </c>
      <c r="C28" s="22" t="s">
        <v>44</v>
      </c>
      <c r="D28" s="22" t="s">
        <v>86</v>
      </c>
      <c r="E28" s="22" t="s">
        <v>25</v>
      </c>
      <c r="F28" s="22" t="s">
        <v>25</v>
      </c>
      <c r="G28" s="23" t="s">
        <v>74</v>
      </c>
      <c r="H28" s="23" t="s">
        <v>70</v>
      </c>
      <c r="I28" s="23">
        <f>'MERCADO TE'!$U$25</f>
        <v>0</v>
      </c>
      <c r="J28" s="15"/>
      <c r="L28" s="20">
        <f>'TR TE'!$L$28*'TR TE'!$L$49</f>
        <v>0</v>
      </c>
      <c r="M28" s="20">
        <f>'TR TE'!$M$28*'TR TE'!$M$49</f>
        <v>0</v>
      </c>
      <c r="N28" s="20">
        <f>'TR TE'!$N$28*'TR TE'!$N$49</f>
        <v>0</v>
      </c>
      <c r="O28" s="20">
        <f>'TR TE'!$O$28*'TR TE'!$O$49</f>
        <v>0</v>
      </c>
      <c r="P28" s="20">
        <f>'TR TE'!$P$28*'TR TE'!$P$49</f>
        <v>0</v>
      </c>
      <c r="Q28" s="20">
        <f>SUM($L$28:$P$28)</f>
        <v>0</v>
      </c>
      <c r="R28" s="20">
        <f>'TR TE'!$R$28*'TR TE'!$R$49</f>
        <v>169.45914615204225</v>
      </c>
      <c r="S28" s="20">
        <f>SUM($R$28:$R$28)</f>
        <v>169.45914615204225</v>
      </c>
      <c r="T28" s="20">
        <f>'TR TE'!$T$28*'TR TE'!$T$49</f>
        <v>0</v>
      </c>
      <c r="U28" s="20">
        <f>'TR TE'!$U$28*'TR TE'!$U$49</f>
        <v>0</v>
      </c>
      <c r="V28" s="20">
        <f>'TR TE'!$V$28*'TR TE'!$V$49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TE'!$Z$49</f>
        <v>0</v>
      </c>
      <c r="AA28" s="20">
        <f>SUM($Z$28:$Z$28)</f>
        <v>0</v>
      </c>
      <c r="AB28" s="20">
        <f>SUMIF($L$4:$AA$4,"SUBTOTAL",$L$28:$AA$28)</f>
        <v>169.45914615204225</v>
      </c>
    </row>
    <row r="29" spans="1:28" ht="11.25" customHeight="1" x14ac:dyDescent="0.3">
      <c r="A29" s="99"/>
      <c r="B29" s="99" t="s">
        <v>69</v>
      </c>
      <c r="C29" s="99" t="s">
        <v>44</v>
      </c>
      <c r="D29" s="99" t="s">
        <v>87</v>
      </c>
      <c r="E29" s="99" t="s">
        <v>25</v>
      </c>
      <c r="F29" s="99" t="s">
        <v>25</v>
      </c>
      <c r="G29" s="23" t="s">
        <v>71</v>
      </c>
      <c r="H29" s="23" t="s">
        <v>70</v>
      </c>
      <c r="I29" s="23">
        <f>'MERCADO TE'!$U$26</f>
        <v>0</v>
      </c>
      <c r="J29" s="15"/>
      <c r="L29" s="20">
        <f>'TR TE'!$L$29*'TR TE'!$L$49</f>
        <v>0</v>
      </c>
      <c r="M29" s="20">
        <f>'TR TE'!$M$29*'TR TE'!$M$49</f>
        <v>0</v>
      </c>
      <c r="N29" s="20">
        <f>'TR TE'!$N$29*'TR TE'!$N$49</f>
        <v>0</v>
      </c>
      <c r="O29" s="20">
        <f>'TR TE'!$O$29*'TR TE'!$O$49</f>
        <v>0</v>
      </c>
      <c r="P29" s="20">
        <f>'TR TE'!$P$29*'TR TE'!$P$49</f>
        <v>0</v>
      </c>
      <c r="Q29" s="20">
        <f>SUM($L$29:$P$29)</f>
        <v>0</v>
      </c>
      <c r="R29" s="20">
        <f>'TR TE'!$R$29*'TR TE'!$R$49</f>
        <v>169.45914615204225</v>
      </c>
      <c r="S29" s="20">
        <f>SUM($R$29:$R$29)</f>
        <v>169.45914615204225</v>
      </c>
      <c r="T29" s="20">
        <f>'TR TE'!$T$29*'TR TE'!$T$49</f>
        <v>0</v>
      </c>
      <c r="U29" s="20">
        <f>'TR TE'!$U$29*'TR TE'!$U$49</f>
        <v>0</v>
      </c>
      <c r="V29" s="20">
        <f>'TR TE'!$V$29*'TR TE'!$V$49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TE'!$Z$49</f>
        <v>0</v>
      </c>
      <c r="AA29" s="20">
        <f>SUM($Z$29:$Z$29)</f>
        <v>0</v>
      </c>
      <c r="AB29" s="20">
        <f>SUMIF($L$4:$AA$4,"SUBTOTAL",$L$29:$AA$29)</f>
        <v>169.45914615204225</v>
      </c>
    </row>
    <row r="30" spans="1:28" ht="11.25" customHeight="1" x14ac:dyDescent="0.3">
      <c r="A30" s="99"/>
      <c r="B30" s="99"/>
      <c r="C30" s="99"/>
      <c r="D30" s="99"/>
      <c r="E30" s="99"/>
      <c r="F30" s="99"/>
      <c r="G30" s="23" t="s">
        <v>83</v>
      </c>
      <c r="H30" s="23" t="s">
        <v>70</v>
      </c>
      <c r="I30" s="23">
        <f>'MERCADO TE'!$U$27</f>
        <v>0</v>
      </c>
      <c r="J30" s="15"/>
      <c r="L30" s="20">
        <f>'TR TE'!$L$30*'TR TE'!$L$49</f>
        <v>0</v>
      </c>
      <c r="M30" s="20">
        <f>'TR TE'!$M$30*'TR TE'!$M$49</f>
        <v>0</v>
      </c>
      <c r="N30" s="20">
        <f>'TR TE'!$N$30*'TR TE'!$N$49</f>
        <v>0</v>
      </c>
      <c r="O30" s="20">
        <f>'TR TE'!$O$30*'TR TE'!$O$49</f>
        <v>0</v>
      </c>
      <c r="P30" s="20">
        <f>'TR TE'!$P$30*'TR TE'!$P$49</f>
        <v>0</v>
      </c>
      <c r="Q30" s="20">
        <f>SUM($L$30:$P$30)</f>
        <v>0</v>
      </c>
      <c r="R30" s="20">
        <f>'TR TE'!$R$30*'TR TE'!$R$49</f>
        <v>169.45914615204225</v>
      </c>
      <c r="S30" s="20">
        <f>SUM($R$30:$R$30)</f>
        <v>169.45914615204225</v>
      </c>
      <c r="T30" s="20">
        <f>'TR TE'!$T$30*'TR TE'!$T$49</f>
        <v>0</v>
      </c>
      <c r="U30" s="20">
        <f>'TR TE'!$U$30*'TR TE'!$U$49</f>
        <v>0</v>
      </c>
      <c r="V30" s="20">
        <f>'TR TE'!$V$30*'TR TE'!$V$49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TE'!$Z$49</f>
        <v>0</v>
      </c>
      <c r="AA30" s="20">
        <f>SUM($Z$30:$Z$30)</f>
        <v>0</v>
      </c>
      <c r="AB30" s="20">
        <f>SUMIF($L$4:$AA$4,"SUBTOTAL",$L$30:$AA$30)</f>
        <v>169.45914615204225</v>
      </c>
    </row>
    <row r="31" spans="1:28" ht="11.25" customHeight="1" x14ac:dyDescent="0.3">
      <c r="A31" s="99"/>
      <c r="B31" s="99"/>
      <c r="C31" s="99"/>
      <c r="D31" s="99"/>
      <c r="E31" s="99"/>
      <c r="F31" s="99"/>
      <c r="G31" s="23" t="s">
        <v>72</v>
      </c>
      <c r="H31" s="23" t="s">
        <v>70</v>
      </c>
      <c r="I31" s="23">
        <f>'MERCADO TE'!$U$28</f>
        <v>0</v>
      </c>
      <c r="J31" s="15"/>
      <c r="L31" s="20">
        <f>'TR TE'!$L$31*'TR TE'!$L$49</f>
        <v>0</v>
      </c>
      <c r="M31" s="20">
        <f>'TR TE'!$M$31*'TR TE'!$M$49</f>
        <v>0</v>
      </c>
      <c r="N31" s="20">
        <f>'TR TE'!$N$31*'TR TE'!$N$49</f>
        <v>0</v>
      </c>
      <c r="O31" s="20">
        <f>'TR TE'!$O$31*'TR TE'!$O$49</f>
        <v>0</v>
      </c>
      <c r="P31" s="20">
        <f>'TR TE'!$P$31*'TR TE'!$P$49</f>
        <v>0</v>
      </c>
      <c r="Q31" s="20">
        <f>SUM($L$31:$P$31)</f>
        <v>0</v>
      </c>
      <c r="R31" s="20">
        <f>'TR TE'!$R$31*'TR TE'!$R$49</f>
        <v>169.45914615204225</v>
      </c>
      <c r="S31" s="20">
        <f>SUM($R$31:$R$31)</f>
        <v>169.45914615204225</v>
      </c>
      <c r="T31" s="20">
        <f>'TR TE'!$T$31*'TR TE'!$T$49</f>
        <v>0</v>
      </c>
      <c r="U31" s="20">
        <f>'TR TE'!$U$31*'TR TE'!$U$49</f>
        <v>0</v>
      </c>
      <c r="V31" s="20">
        <f>'TR TE'!$V$31*'TR TE'!$V$49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TE'!$Z$49</f>
        <v>0</v>
      </c>
      <c r="AA31" s="20">
        <f>SUM($Z$31:$Z$31)</f>
        <v>0</v>
      </c>
      <c r="AB31" s="20">
        <f>SUMIF($L$4:$AA$4,"SUBTOTAL",$L$31:$AA$31)</f>
        <v>169.45914615204225</v>
      </c>
    </row>
    <row r="32" spans="1:28" ht="11.25" customHeight="1" x14ac:dyDescent="0.3">
      <c r="A32" s="99"/>
      <c r="B32" s="22" t="s">
        <v>73</v>
      </c>
      <c r="C32" s="22" t="s">
        <v>44</v>
      </c>
      <c r="D32" s="22" t="s">
        <v>87</v>
      </c>
      <c r="E32" s="22" t="s">
        <v>25</v>
      </c>
      <c r="F32" s="22" t="s">
        <v>25</v>
      </c>
      <c r="G32" s="23" t="s">
        <v>74</v>
      </c>
      <c r="H32" s="23" t="s">
        <v>70</v>
      </c>
      <c r="I32" s="23">
        <f>'MERCADO TE'!$U$29</f>
        <v>0</v>
      </c>
      <c r="J32" s="15"/>
      <c r="L32" s="20">
        <f>'TR TE'!$L$32*'TR TE'!$L$49</f>
        <v>0</v>
      </c>
      <c r="M32" s="20">
        <f>'TR TE'!$M$32*'TR TE'!$M$49</f>
        <v>0</v>
      </c>
      <c r="N32" s="20">
        <f>'TR TE'!$N$32*'TR TE'!$N$49</f>
        <v>0</v>
      </c>
      <c r="O32" s="20">
        <f>'TR TE'!$O$32*'TR TE'!$O$49</f>
        <v>0</v>
      </c>
      <c r="P32" s="20">
        <f>'TR TE'!$P$32*'TR TE'!$P$49</f>
        <v>0</v>
      </c>
      <c r="Q32" s="20">
        <f>SUM($L$32:$P$32)</f>
        <v>0</v>
      </c>
      <c r="R32" s="20">
        <f>'TR TE'!$R$32*'TR TE'!$R$49</f>
        <v>169.45914615204225</v>
      </c>
      <c r="S32" s="20">
        <f>SUM($R$32:$R$32)</f>
        <v>169.45914615204225</v>
      </c>
      <c r="T32" s="20">
        <f>'TR TE'!$T$32*'TR TE'!$T$49</f>
        <v>0</v>
      </c>
      <c r="U32" s="20">
        <f>'TR TE'!$U$32*'TR TE'!$U$49</f>
        <v>0</v>
      </c>
      <c r="V32" s="20">
        <f>'TR TE'!$V$32*'TR TE'!$V$49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TE'!$Z$49</f>
        <v>0</v>
      </c>
      <c r="AA32" s="20">
        <f>SUM($Z$32:$Z$32)</f>
        <v>0</v>
      </c>
      <c r="AB32" s="20">
        <f>SUMIF($L$4:$AA$4,"SUBTOTAL",$L$32:$AA$32)</f>
        <v>169.45914615204225</v>
      </c>
    </row>
    <row r="33" spans="1:28" ht="11.25" customHeight="1" x14ac:dyDescent="0.3">
      <c r="A33" s="99"/>
      <c r="B33" s="99" t="s">
        <v>84</v>
      </c>
      <c r="C33" s="99" t="s">
        <v>44</v>
      </c>
      <c r="D33" s="22" t="s">
        <v>25</v>
      </c>
      <c r="E33" s="22" t="s">
        <v>25</v>
      </c>
      <c r="F33" s="22" t="s">
        <v>25</v>
      </c>
      <c r="G33" s="23" t="s">
        <v>74</v>
      </c>
      <c r="H33" s="23" t="s">
        <v>70</v>
      </c>
      <c r="I33" s="23">
        <f>'MERCADO TE'!$U$30</f>
        <v>0</v>
      </c>
      <c r="J33" s="15"/>
      <c r="L33" s="20">
        <f>'TR TE'!$L$33*'TR TE'!$L$49</f>
        <v>0</v>
      </c>
      <c r="M33" s="20">
        <f>'TR TE'!$M$33*'TR TE'!$M$49</f>
        <v>0</v>
      </c>
      <c r="N33" s="20">
        <f>'TR TE'!$N$33*'TR TE'!$N$49</f>
        <v>0</v>
      </c>
      <c r="O33" s="20">
        <f>'TR TE'!$O$33*'TR TE'!$O$49</f>
        <v>0</v>
      </c>
      <c r="P33" s="20">
        <f>'TR TE'!$P$33*'TR TE'!$P$49</f>
        <v>0</v>
      </c>
      <c r="Q33" s="20">
        <f>SUM($L$33:$P$33)</f>
        <v>0</v>
      </c>
      <c r="R33" s="20">
        <f>'TR TE'!$R$33*'TR TE'!$R$49</f>
        <v>169.45914615204225</v>
      </c>
      <c r="S33" s="20">
        <f>SUM($R$33:$R$33)</f>
        <v>169.45914615204225</v>
      </c>
      <c r="T33" s="20">
        <f>'TR TE'!$T$33*'TR TE'!$T$49</f>
        <v>0</v>
      </c>
      <c r="U33" s="20">
        <f>'TR TE'!$U$33*'TR TE'!$U$49</f>
        <v>0</v>
      </c>
      <c r="V33" s="20">
        <f>'TR TE'!$V$33*'TR TE'!$V$49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TE'!$Z$49</f>
        <v>0</v>
      </c>
      <c r="AA33" s="20">
        <f>SUM($Z$33:$Z$33)</f>
        <v>0</v>
      </c>
      <c r="AB33" s="20">
        <f>SUMIF($L$4:$AA$4,"SUBTOTAL",$L$33:$AA$33)</f>
        <v>169.45914615204225</v>
      </c>
    </row>
    <row r="34" spans="1:28" ht="11.25" customHeight="1" x14ac:dyDescent="0.3">
      <c r="A34" s="99"/>
      <c r="B34" s="99"/>
      <c r="C34" s="99"/>
      <c r="D34" s="22" t="s">
        <v>86</v>
      </c>
      <c r="E34" s="22" t="s">
        <v>25</v>
      </c>
      <c r="F34" s="22" t="s">
        <v>25</v>
      </c>
      <c r="G34" s="23" t="s">
        <v>74</v>
      </c>
      <c r="H34" s="23" t="s">
        <v>70</v>
      </c>
      <c r="I34" s="23">
        <f>'MERCADO TE'!$U$31</f>
        <v>0</v>
      </c>
      <c r="J34" s="15"/>
      <c r="L34" s="20">
        <f>'TR TE'!$L$34*'TR TE'!$L$49</f>
        <v>0</v>
      </c>
      <c r="M34" s="20">
        <f>'TR TE'!$M$34*'TR TE'!$M$49</f>
        <v>0</v>
      </c>
      <c r="N34" s="20">
        <f>'TR TE'!$N$34*'TR TE'!$N$49</f>
        <v>0</v>
      </c>
      <c r="O34" s="20">
        <f>'TR TE'!$O$34*'TR TE'!$O$49</f>
        <v>0</v>
      </c>
      <c r="P34" s="20">
        <f>'TR TE'!$P$34*'TR TE'!$P$49</f>
        <v>0</v>
      </c>
      <c r="Q34" s="20">
        <f>SUM($L$34:$P$34)</f>
        <v>0</v>
      </c>
      <c r="R34" s="20">
        <f>'TR TE'!$R$34*'TR TE'!$R$49</f>
        <v>169.45914615204225</v>
      </c>
      <c r="S34" s="20">
        <f>SUM($R$34:$R$34)</f>
        <v>169.45914615204225</v>
      </c>
      <c r="T34" s="20">
        <f>'TR TE'!$T$34*'TR TE'!$T$49</f>
        <v>0</v>
      </c>
      <c r="U34" s="20">
        <f>'TR TE'!$U$34*'TR TE'!$U$49</f>
        <v>0</v>
      </c>
      <c r="V34" s="20">
        <f>'TR TE'!$V$34*'TR TE'!$V$49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TE'!$Z$49</f>
        <v>0</v>
      </c>
      <c r="AA34" s="20">
        <f>SUM($Z$34:$Z$34)</f>
        <v>0</v>
      </c>
      <c r="AB34" s="20">
        <f>SUMIF($L$4:$AA$4,"SUBTOTAL",$L$34:$AA$34)</f>
        <v>169.45914615204225</v>
      </c>
    </row>
    <row r="35" spans="1:28" ht="11.25" customHeight="1" x14ac:dyDescent="0.3">
      <c r="A35" s="99"/>
      <c r="B35" s="99"/>
      <c r="C35" s="99"/>
      <c r="D35" s="22" t="s">
        <v>87</v>
      </c>
      <c r="E35" s="22" t="s">
        <v>25</v>
      </c>
      <c r="F35" s="22" t="s">
        <v>25</v>
      </c>
      <c r="G35" s="23" t="s">
        <v>74</v>
      </c>
      <c r="H35" s="23" t="s">
        <v>70</v>
      </c>
      <c r="I35" s="23">
        <f>'MERCADO TE'!$U$32</f>
        <v>0</v>
      </c>
      <c r="J35" s="15"/>
      <c r="L35" s="20">
        <f>'TR TE'!$L$35*'TR TE'!$L$49</f>
        <v>0</v>
      </c>
      <c r="M35" s="20">
        <f>'TR TE'!$M$35*'TR TE'!$M$49</f>
        <v>0</v>
      </c>
      <c r="N35" s="20">
        <f>'TR TE'!$N$35*'TR TE'!$N$49</f>
        <v>0</v>
      </c>
      <c r="O35" s="20">
        <f>'TR TE'!$O$35*'TR TE'!$O$49</f>
        <v>0</v>
      </c>
      <c r="P35" s="20">
        <f>'TR TE'!$P$35*'TR TE'!$P$49</f>
        <v>0</v>
      </c>
      <c r="Q35" s="20">
        <f>SUM($L$35:$P$35)</f>
        <v>0</v>
      </c>
      <c r="R35" s="20">
        <f>'TR TE'!$R$35*'TR TE'!$R$49</f>
        <v>169.45914615204225</v>
      </c>
      <c r="S35" s="20">
        <f>SUM($R$35:$R$35)</f>
        <v>169.45914615204225</v>
      </c>
      <c r="T35" s="20">
        <f>'TR TE'!$T$35*'TR TE'!$T$49</f>
        <v>0</v>
      </c>
      <c r="U35" s="20">
        <f>'TR TE'!$U$35*'TR TE'!$U$49</f>
        <v>0</v>
      </c>
      <c r="V35" s="20">
        <f>'TR TE'!$V$35*'TR TE'!$V$49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TE'!$Z$49</f>
        <v>0</v>
      </c>
      <c r="AA35" s="20">
        <f>SUM($Z$35:$Z$35)</f>
        <v>0</v>
      </c>
      <c r="AB35" s="20">
        <f>SUMIF($L$4:$AA$4,"SUBTOTAL",$L$35:$AA$35)</f>
        <v>169.45914615204225</v>
      </c>
    </row>
    <row r="36" spans="1:28" ht="11.25" customHeight="1" x14ac:dyDescent="0.3">
      <c r="A36" s="99" t="s">
        <v>35</v>
      </c>
      <c r="B36" s="99" t="s">
        <v>69</v>
      </c>
      <c r="C36" s="99" t="s">
        <v>25</v>
      </c>
      <c r="D36" s="99" t="s">
        <v>25</v>
      </c>
      <c r="E36" s="99" t="s">
        <v>25</v>
      </c>
      <c r="F36" s="99" t="s">
        <v>25</v>
      </c>
      <c r="G36" s="23" t="s">
        <v>71</v>
      </c>
      <c r="H36" s="23" t="s">
        <v>70</v>
      </c>
      <c r="I36" s="23">
        <f>'MERCADO TE'!$U$33</f>
        <v>0.746</v>
      </c>
      <c r="J36" s="15"/>
      <c r="L36" s="20">
        <f>'TR TE'!$L$36*'TR TE'!$L$49</f>
        <v>0</v>
      </c>
      <c r="M36" s="20">
        <f>'TR TE'!$M$36*'TR TE'!$M$49</f>
        <v>0</v>
      </c>
      <c r="N36" s="20">
        <f>'TR TE'!$N$36*'TR TE'!$N$49</f>
        <v>0</v>
      </c>
      <c r="O36" s="20">
        <f>'TR TE'!$O$36*'TR TE'!$O$49</f>
        <v>0</v>
      </c>
      <c r="P36" s="20">
        <f>'TR TE'!$P$36*'TR TE'!$P$49</f>
        <v>0</v>
      </c>
      <c r="Q36" s="20">
        <f>SUM($L$36:$P$36)</f>
        <v>0</v>
      </c>
      <c r="R36" s="20">
        <f>'TR TE'!$R$36*'TR TE'!$R$49</f>
        <v>169.45914615204225</v>
      </c>
      <c r="S36" s="20">
        <f>SUM($R$36:$R$36)</f>
        <v>169.45914615204225</v>
      </c>
      <c r="T36" s="20">
        <f>'TR TE'!$T$36*'TR TE'!$T$49</f>
        <v>0</v>
      </c>
      <c r="U36" s="20">
        <f>'TR TE'!$U$36*'TR TE'!$U$49</f>
        <v>0</v>
      </c>
      <c r="V36" s="20">
        <f>'TR TE'!$V$36*'TR TE'!$V$49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TE'!$Z$49</f>
        <v>0</v>
      </c>
      <c r="AA36" s="20">
        <f>SUM($Z$36:$Z$36)</f>
        <v>0</v>
      </c>
      <c r="AB36" s="20">
        <f>SUMIF($L$4:$AA$4,"SUBTOTAL",$L$36:$AA$36)</f>
        <v>169.45914615204225</v>
      </c>
    </row>
    <row r="37" spans="1:28" ht="11.25" customHeight="1" x14ac:dyDescent="0.3">
      <c r="A37" s="99"/>
      <c r="B37" s="99"/>
      <c r="C37" s="99"/>
      <c r="D37" s="99"/>
      <c r="E37" s="99"/>
      <c r="F37" s="99"/>
      <c r="G37" s="23" t="s">
        <v>83</v>
      </c>
      <c r="H37" s="23" t="s">
        <v>70</v>
      </c>
      <c r="I37" s="23">
        <f>'MERCADO TE'!$U$34</f>
        <v>0.45699999999999996</v>
      </c>
      <c r="J37" s="15"/>
      <c r="L37" s="20">
        <f>'TR TE'!$L$37*'TR TE'!$L$49</f>
        <v>0</v>
      </c>
      <c r="M37" s="20">
        <f>'TR TE'!$M$37*'TR TE'!$M$49</f>
        <v>0</v>
      </c>
      <c r="N37" s="20">
        <f>'TR TE'!$N$37*'TR TE'!$N$49</f>
        <v>0</v>
      </c>
      <c r="O37" s="20">
        <f>'TR TE'!$O$37*'TR TE'!$O$49</f>
        <v>0</v>
      </c>
      <c r="P37" s="20">
        <f>'TR TE'!$P$37*'TR TE'!$P$49</f>
        <v>0</v>
      </c>
      <c r="Q37" s="20">
        <f>SUM($L$37:$P$37)</f>
        <v>0</v>
      </c>
      <c r="R37" s="20">
        <f>'TR TE'!$R$37*'TR TE'!$R$49</f>
        <v>169.45914615204225</v>
      </c>
      <c r="S37" s="20">
        <f>SUM($R$37:$R$37)</f>
        <v>169.45914615204225</v>
      </c>
      <c r="T37" s="20">
        <f>'TR TE'!$T$37*'TR TE'!$T$49</f>
        <v>0</v>
      </c>
      <c r="U37" s="20">
        <f>'TR TE'!$U$37*'TR TE'!$U$49</f>
        <v>0</v>
      </c>
      <c r="V37" s="20">
        <f>'TR TE'!$V$37*'TR TE'!$V$49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TE'!$Z$49</f>
        <v>0</v>
      </c>
      <c r="AA37" s="20">
        <f>SUM($Z$37:$Z$37)</f>
        <v>0</v>
      </c>
      <c r="AB37" s="20">
        <f>SUMIF($L$4:$AA$4,"SUBTOTAL",$L$37:$AA$37)</f>
        <v>169.45914615204225</v>
      </c>
    </row>
    <row r="38" spans="1:28" ht="11.25" customHeight="1" x14ac:dyDescent="0.3">
      <c r="A38" s="99"/>
      <c r="B38" s="99"/>
      <c r="C38" s="99"/>
      <c r="D38" s="99"/>
      <c r="E38" s="99"/>
      <c r="F38" s="99"/>
      <c r="G38" s="23" t="s">
        <v>72</v>
      </c>
      <c r="H38" s="23" t="s">
        <v>70</v>
      </c>
      <c r="I38" s="23">
        <f>'MERCADO TE'!$U$35</f>
        <v>6.4780000000000006</v>
      </c>
      <c r="J38" s="15"/>
      <c r="L38" s="20">
        <f>'TR TE'!$L$38*'TR TE'!$L$49</f>
        <v>0</v>
      </c>
      <c r="M38" s="20">
        <f>'TR TE'!$M$38*'TR TE'!$M$49</f>
        <v>0</v>
      </c>
      <c r="N38" s="20">
        <f>'TR TE'!$N$38*'TR TE'!$N$49</f>
        <v>0</v>
      </c>
      <c r="O38" s="20">
        <f>'TR TE'!$O$38*'TR TE'!$O$49</f>
        <v>0</v>
      </c>
      <c r="P38" s="20">
        <f>'TR TE'!$P$38*'TR TE'!$P$49</f>
        <v>0</v>
      </c>
      <c r="Q38" s="20">
        <f>SUM($L$38:$P$38)</f>
        <v>0</v>
      </c>
      <c r="R38" s="20">
        <f>'TR TE'!$R$38*'TR TE'!$R$49</f>
        <v>169.45914615204225</v>
      </c>
      <c r="S38" s="20">
        <f>SUM($R$38:$R$38)</f>
        <v>169.45914615204225</v>
      </c>
      <c r="T38" s="20">
        <f>'TR TE'!$T$38*'TR TE'!$T$49</f>
        <v>0</v>
      </c>
      <c r="U38" s="20">
        <f>'TR TE'!$U$38*'TR TE'!$U$49</f>
        <v>0</v>
      </c>
      <c r="V38" s="20">
        <f>'TR TE'!$V$38*'TR TE'!$V$49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TE'!$Z$49</f>
        <v>0</v>
      </c>
      <c r="AA38" s="20">
        <f>SUM($Z$38:$Z$38)</f>
        <v>0</v>
      </c>
      <c r="AB38" s="20">
        <f>SUMIF($L$4:$AA$4,"SUBTOTAL",$L$38:$AA$38)</f>
        <v>169.45914615204225</v>
      </c>
    </row>
    <row r="39" spans="1:28" ht="11.25" customHeight="1" x14ac:dyDescent="0.3">
      <c r="A39" s="99"/>
      <c r="B39" s="22" t="s">
        <v>73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74</v>
      </c>
      <c r="H39" s="23" t="s">
        <v>70</v>
      </c>
      <c r="I39" s="23">
        <f>'MERCADO TE'!$U$36</f>
        <v>2717.4190000000003</v>
      </c>
      <c r="J39" s="15"/>
      <c r="L39" s="20">
        <f>'TR TE'!$L$39*'TR TE'!$L$49</f>
        <v>0</v>
      </c>
      <c r="M39" s="20">
        <f>'TR TE'!$M$39*'TR TE'!$M$49</f>
        <v>0</v>
      </c>
      <c r="N39" s="20">
        <f>'TR TE'!$N$39*'TR TE'!$N$49</f>
        <v>0</v>
      </c>
      <c r="O39" s="20">
        <f>'TR TE'!$O$39*'TR TE'!$O$49</f>
        <v>0</v>
      </c>
      <c r="P39" s="20">
        <f>'TR TE'!$P$39*'TR TE'!$P$49</f>
        <v>0</v>
      </c>
      <c r="Q39" s="20">
        <f>SUM($L$39:$P$39)</f>
        <v>0</v>
      </c>
      <c r="R39" s="20">
        <f>'TR TE'!$R$39*'TR TE'!$R$49</f>
        <v>169.45914615204225</v>
      </c>
      <c r="S39" s="20">
        <f>SUM($R$39:$R$39)</f>
        <v>169.45914615204225</v>
      </c>
      <c r="T39" s="20">
        <f>'TR TE'!$T$39*'TR TE'!$T$49</f>
        <v>0</v>
      </c>
      <c r="U39" s="20">
        <f>'TR TE'!$U$39*'TR TE'!$U$49</f>
        <v>0</v>
      </c>
      <c r="V39" s="20">
        <f>'TR TE'!$V$39*'TR TE'!$V$49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TE'!$Z$49</f>
        <v>0</v>
      </c>
      <c r="AA39" s="20">
        <f>SUM($Z$39:$Z$39)</f>
        <v>0</v>
      </c>
      <c r="AB39" s="20">
        <f>SUMIF($L$4:$AA$4,"SUBTOTAL",$L$39:$AA$39)</f>
        <v>169.45914615204225</v>
      </c>
    </row>
    <row r="40" spans="1:28" ht="11.25" customHeight="1" x14ac:dyDescent="0.3">
      <c r="A40" s="99"/>
      <c r="B40" s="22" t="s">
        <v>84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74</v>
      </c>
      <c r="H40" s="23" t="s">
        <v>70</v>
      </c>
      <c r="I40" s="23">
        <f>'MERCADO TE'!$U$37</f>
        <v>0</v>
      </c>
      <c r="J40" s="15"/>
      <c r="L40" s="20">
        <f>'TR TE'!$L$40*'TR TE'!$L$49</f>
        <v>0</v>
      </c>
      <c r="M40" s="20">
        <f>'TR TE'!$M$40*'TR TE'!$M$49</f>
        <v>0</v>
      </c>
      <c r="N40" s="20">
        <f>'TR TE'!$N$40*'TR TE'!$N$49</f>
        <v>0</v>
      </c>
      <c r="O40" s="20">
        <f>'TR TE'!$O$40*'TR TE'!$O$49</f>
        <v>0</v>
      </c>
      <c r="P40" s="20">
        <f>'TR TE'!$P$40*'TR TE'!$P$49</f>
        <v>0</v>
      </c>
      <c r="Q40" s="20">
        <f>SUM($L$40:$P$40)</f>
        <v>0</v>
      </c>
      <c r="R40" s="20">
        <f>'TR TE'!$R$40*'TR TE'!$R$49</f>
        <v>169.45914615204225</v>
      </c>
      <c r="S40" s="20">
        <f>SUM($R$40:$R$40)</f>
        <v>169.45914615204225</v>
      </c>
      <c r="T40" s="20">
        <f>'TR TE'!$T$40*'TR TE'!$T$49</f>
        <v>0</v>
      </c>
      <c r="U40" s="20">
        <f>'TR TE'!$U$40*'TR TE'!$U$49</f>
        <v>0</v>
      </c>
      <c r="V40" s="20">
        <f>'TR TE'!$V$40*'TR TE'!$V$49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TE'!$Z$49</f>
        <v>0</v>
      </c>
      <c r="AA40" s="20">
        <f>SUM($Z$40:$Z$40)</f>
        <v>0</v>
      </c>
      <c r="AB40" s="20">
        <f>SUMIF($L$4:$AA$4,"SUBTOTAL",$L$40:$AA$40)</f>
        <v>169.45914615204225</v>
      </c>
    </row>
    <row r="41" spans="1:28" ht="11.25" customHeight="1" x14ac:dyDescent="0.3">
      <c r="A41" s="99" t="s">
        <v>46</v>
      </c>
      <c r="B41" s="99" t="s">
        <v>73</v>
      </c>
      <c r="C41" s="99" t="s">
        <v>47</v>
      </c>
      <c r="D41" s="22" t="s">
        <v>48</v>
      </c>
      <c r="E41" s="22" t="s">
        <v>25</v>
      </c>
      <c r="F41" s="22" t="s">
        <v>25</v>
      </c>
      <c r="G41" s="23" t="s">
        <v>74</v>
      </c>
      <c r="H41" s="23" t="s">
        <v>70</v>
      </c>
      <c r="I41" s="23">
        <f>'MERCADO TE'!$U$38</f>
        <v>2495.3550000000005</v>
      </c>
      <c r="J41" s="15"/>
      <c r="L41" s="20">
        <f>'TR TE'!$L$41*'TR TE'!$L$49</f>
        <v>0</v>
      </c>
      <c r="M41" s="20">
        <f>'TR TE'!$M$41*'TR TE'!$M$49</f>
        <v>0</v>
      </c>
      <c r="N41" s="20">
        <f>'TR TE'!$N$41*'TR TE'!$N$49</f>
        <v>0</v>
      </c>
      <c r="O41" s="20">
        <f>'TR TE'!$O$41*'TR TE'!$O$49</f>
        <v>0</v>
      </c>
      <c r="P41" s="20">
        <f>'TR TE'!$P$41*'TR TE'!$P$49</f>
        <v>0</v>
      </c>
      <c r="Q41" s="20">
        <f>SUM($L$41:$P$41)</f>
        <v>0</v>
      </c>
      <c r="R41" s="20">
        <f>'TR TE'!$R$41*'TR TE'!$R$49</f>
        <v>93.202530383623241</v>
      </c>
      <c r="S41" s="20">
        <f>SUM($R$41:$R$41)</f>
        <v>93.202530383623241</v>
      </c>
      <c r="T41" s="20">
        <f>'TR TE'!$T$41*'TR TE'!$T$49</f>
        <v>0</v>
      </c>
      <c r="U41" s="20">
        <f>'TR TE'!$U$41*'TR TE'!$U$49</f>
        <v>0</v>
      </c>
      <c r="V41" s="20">
        <f>'TR TE'!$V$41*'TR TE'!$V$49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TE'!$Z$49</f>
        <v>0</v>
      </c>
      <c r="AA41" s="20">
        <f>SUM($Z$41:$Z$41)</f>
        <v>0</v>
      </c>
      <c r="AB41" s="20">
        <f>SUMIF($L$4:$AA$4,"SUBTOTAL",$L$41:$AA$41)</f>
        <v>93.202530383623241</v>
      </c>
    </row>
    <row r="42" spans="1:28" ht="11.25" customHeight="1" x14ac:dyDescent="0.3">
      <c r="A42" s="99"/>
      <c r="B42" s="99"/>
      <c r="C42" s="99"/>
      <c r="D42" s="23" t="s">
        <v>49</v>
      </c>
      <c r="E42" s="23" t="s">
        <v>25</v>
      </c>
      <c r="F42" s="23" t="s">
        <v>25</v>
      </c>
      <c r="G42" s="23" t="s">
        <v>74</v>
      </c>
      <c r="H42" s="23" t="s">
        <v>70</v>
      </c>
      <c r="I42" s="23">
        <f>'MERCADO TE'!$U$39</f>
        <v>1567.3130000000001</v>
      </c>
      <c r="J42" s="15"/>
      <c r="L42" s="20">
        <f>'TR TE'!$L$42*'TR TE'!$L$49</f>
        <v>0</v>
      </c>
      <c r="M42" s="20">
        <f>'TR TE'!$M$42*'TR TE'!$M$49</f>
        <v>0</v>
      </c>
      <c r="N42" s="20">
        <f>'TR TE'!$N$42*'TR TE'!$N$49</f>
        <v>0</v>
      </c>
      <c r="O42" s="20">
        <f>'TR TE'!$O$42*'TR TE'!$O$49</f>
        <v>0</v>
      </c>
      <c r="P42" s="20">
        <f>'TR TE'!$P$42*'TR TE'!$P$49</f>
        <v>0</v>
      </c>
      <c r="Q42" s="20">
        <f>SUM($L$42:$P$42)</f>
        <v>0</v>
      </c>
      <c r="R42" s="20">
        <f>'TR TE'!$R$42*'TR TE'!$R$49</f>
        <v>101.67548769122534</v>
      </c>
      <c r="S42" s="20">
        <f>SUM($R$42:$R$42)</f>
        <v>101.67548769122534</v>
      </c>
      <c r="T42" s="20">
        <f>'TR TE'!$T$42*'TR TE'!$T$49</f>
        <v>0</v>
      </c>
      <c r="U42" s="20">
        <f>'TR TE'!$U$42*'TR TE'!$U$49</f>
        <v>0</v>
      </c>
      <c r="V42" s="20">
        <f>'TR TE'!$V$42*'TR TE'!$V$49</f>
        <v>0</v>
      </c>
      <c r="W42" s="20">
        <f>SUM($T$42:$V$42)</f>
        <v>0</v>
      </c>
      <c r="X42" s="20"/>
      <c r="Y42" s="20">
        <f>SUM($X$42:$X$42)</f>
        <v>0</v>
      </c>
      <c r="Z42" s="20">
        <f>'TR TE'!$Z$42*'TR TE'!$Z$49</f>
        <v>0</v>
      </c>
      <c r="AA42" s="20">
        <f>SUM($Z$42:$Z$42)</f>
        <v>0</v>
      </c>
      <c r="AB42" s="20">
        <f>SUMIF($L$4:$AA$4,"SUBTOTAL",$L$42:$AA$42)</f>
        <v>101.67548769122534</v>
      </c>
    </row>
    <row r="44" spans="1:28" ht="11.25" customHeight="1" x14ac:dyDescent="0.3">
      <c r="K44" s="25" t="s">
        <v>622</v>
      </c>
      <c r="L44" s="20">
        <f t="shared" ref="L44:AB44" si="0">SUMPRODUCT($I$5:$I$42,L$5:L$42)</f>
        <v>0</v>
      </c>
      <c r="M44" s="20">
        <f t="shared" si="0"/>
        <v>0</v>
      </c>
      <c r="N44" s="20">
        <f t="shared" si="0"/>
        <v>0</v>
      </c>
      <c r="O44" s="20">
        <f t="shared" si="0"/>
        <v>0</v>
      </c>
      <c r="P44" s="20">
        <f t="shared" si="0"/>
        <v>0</v>
      </c>
      <c r="Q44" s="20">
        <f t="shared" si="0"/>
        <v>0</v>
      </c>
      <c r="R44" s="20">
        <f t="shared" si="0"/>
        <v>8464455.5507126227</v>
      </c>
      <c r="S44" s="20">
        <f t="shared" si="0"/>
        <v>8464455.5507126227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8464455.5507126227</v>
      </c>
    </row>
    <row r="45" spans="1:28" ht="11.25" customHeight="1" x14ac:dyDescent="0.3">
      <c r="K45" s="25" t="s">
        <v>541</v>
      </c>
      <c r="L45" s="20">
        <f>CUSTOS!$D$30</f>
        <v>0</v>
      </c>
      <c r="M45" s="20">
        <f>CUSTOS!$D$31</f>
        <v>0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0</v>
      </c>
      <c r="R45" s="20">
        <f>CUSTOS!$D$36</f>
        <v>8464455.5507126208</v>
      </c>
      <c r="S45" s="20">
        <f>CUSTOS!$D$37</f>
        <v>8464455.5507126208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8464455.5507126208</v>
      </c>
    </row>
    <row r="46" spans="1:28" ht="11.25" customHeight="1" x14ac:dyDescent="0.3">
      <c r="K46" s="25" t="s">
        <v>542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-134647.15914233806</v>
      </c>
      <c r="S46" s="20">
        <f>CUSTOS!$E$37</f>
        <v>-134647.15914233806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-134647.15914233806</v>
      </c>
    </row>
    <row r="47" spans="1:28" ht="11.25" customHeight="1" x14ac:dyDescent="0.3">
      <c r="K47" s="25" t="s">
        <v>543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 s="25" t="s">
        <v>623</v>
      </c>
      <c r="L48" s="20">
        <f>'TR TE'!$L$48*L49</f>
        <v>0</v>
      </c>
      <c r="M48" s="20">
        <f>'TR TE'!$M$48*M49</f>
        <v>0</v>
      </c>
      <c r="N48" s="20">
        <f>'TR TE'!$N$48*N49</f>
        <v>0</v>
      </c>
      <c r="O48" s="20">
        <f>'TR TE'!$O$48*O49</f>
        <v>0</v>
      </c>
      <c r="P48" s="20">
        <f>'TR TE'!$P$48*P49</f>
        <v>0</v>
      </c>
      <c r="Q48" s="20"/>
      <c r="R48" s="20">
        <f>'TR TE'!$R$48*R49</f>
        <v>-2.6429950042650914</v>
      </c>
      <c r="S48" s="20"/>
      <c r="T48" s="20">
        <f>'TR TE'!$T$48*T49</f>
        <v>0</v>
      </c>
      <c r="U48" s="20">
        <f>'TR TE'!$U$48*U49</f>
        <v>0</v>
      </c>
      <c r="V48" s="20">
        <f>'TR TE'!$V$48*V49</f>
        <v>0</v>
      </c>
      <c r="W48" s="20"/>
      <c r="X48" s="20"/>
      <c r="Y48" s="20"/>
      <c r="Z48" s="20">
        <f>'TR TE'!$Z$48*Z49</f>
        <v>0</v>
      </c>
      <c r="AA48" s="20"/>
      <c r="AB48" s="20"/>
    </row>
    <row r="49" spans="11:28" ht="11.25" customHeight="1" x14ac:dyDescent="0.3">
      <c r="K49" s="25" t="s">
        <v>610</v>
      </c>
      <c r="L49" s="20">
        <f>IF(L45&lt;&gt;0,L46/L45,0)</f>
        <v>0</v>
      </c>
      <c r="M49" s="20">
        <f>IF(M45&lt;&gt;0,M46/M45,0)</f>
        <v>0</v>
      </c>
      <c r="N49" s="20">
        <f>IF(N45&lt;&gt;0,N46/N45,0)</f>
        <v>0</v>
      </c>
      <c r="O49" s="20">
        <f>IF(O45&lt;&gt;0,O46/O45,0)</f>
        <v>0</v>
      </c>
      <c r="P49" s="20">
        <f>IF(P45&lt;&gt;0,P46/P45,0)</f>
        <v>0</v>
      </c>
      <c r="Q49" s="20"/>
      <c r="R49" s="20">
        <f>IF(R45&lt;&gt;0,R46/R45,0)</f>
        <v>-1.5907362066660286E-2</v>
      </c>
      <c r="S49" s="20"/>
      <c r="T49" s="20">
        <f>IF(T45&lt;&gt;0,T46/T45,0)</f>
        <v>0</v>
      </c>
      <c r="U49" s="20">
        <f>IF(U45&lt;&gt;0,U46/U45,0)</f>
        <v>0</v>
      </c>
      <c r="V49" s="20">
        <f>IF(V45&lt;&gt;0,V46/V45,0)</f>
        <v>0</v>
      </c>
      <c r="W49" s="20"/>
      <c r="X49" s="20">
        <f>IF(($AB45-0)&lt;&gt;0,X46/($AB45-0),0)</f>
        <v>0</v>
      </c>
      <c r="Y49" s="20"/>
      <c r="Z49" s="20">
        <f>IF(Z45&lt;&gt;0,Z46/Z45,0)</f>
        <v>0</v>
      </c>
      <c r="AA49" s="20"/>
      <c r="AB49" s="20"/>
    </row>
    <row r="50" spans="11:28" ht="11.25" customHeight="1" x14ac:dyDescent="0.3">
      <c r="K50" s="25" t="s">
        <v>625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658" priority="33" operator="notEqual">
      <formula>$L$45</formula>
    </cfRule>
    <cfRule type="cellIs" dxfId="657" priority="34" operator="equal">
      <formula>$L$45</formula>
    </cfRule>
  </conditionalFormatting>
  <conditionalFormatting sqref="M44">
    <cfRule type="cellIs" dxfId="656" priority="31" operator="notEqual">
      <formula>$M$45</formula>
    </cfRule>
    <cfRule type="cellIs" dxfId="655" priority="32" operator="equal">
      <formula>$M$45</formula>
    </cfRule>
  </conditionalFormatting>
  <conditionalFormatting sqref="N44">
    <cfRule type="cellIs" dxfId="654" priority="29" operator="notEqual">
      <formula>$N$45</formula>
    </cfRule>
    <cfRule type="cellIs" dxfId="653" priority="30" operator="equal">
      <formula>$N$45</formula>
    </cfRule>
  </conditionalFormatting>
  <conditionalFormatting sqref="O44">
    <cfRule type="cellIs" dxfId="652" priority="27" operator="notEqual">
      <formula>$O$45</formula>
    </cfRule>
    <cfRule type="cellIs" dxfId="651" priority="28" operator="equal">
      <formula>$O$45</formula>
    </cfRule>
  </conditionalFormatting>
  <conditionalFormatting sqref="P44">
    <cfRule type="cellIs" dxfId="650" priority="25" operator="notEqual">
      <formula>$P$45</formula>
    </cfRule>
    <cfRule type="cellIs" dxfId="649" priority="26" operator="equal">
      <formula>$P$45</formula>
    </cfRule>
  </conditionalFormatting>
  <conditionalFormatting sqref="Q44">
    <cfRule type="cellIs" dxfId="648" priority="23" operator="notEqual">
      <formula>$Q$45</formula>
    </cfRule>
    <cfRule type="cellIs" dxfId="647" priority="24" operator="equal">
      <formula>$Q$45</formula>
    </cfRule>
  </conditionalFormatting>
  <conditionalFormatting sqref="R44">
    <cfRule type="cellIs" dxfId="646" priority="21" operator="notEqual">
      <formula>$R$45</formula>
    </cfRule>
    <cfRule type="cellIs" dxfId="645" priority="22" operator="equal">
      <formula>$R$45</formula>
    </cfRule>
  </conditionalFormatting>
  <conditionalFormatting sqref="S44">
    <cfRule type="cellIs" dxfId="644" priority="19" operator="notEqual">
      <formula>$S$45</formula>
    </cfRule>
    <cfRule type="cellIs" dxfId="643" priority="20" operator="equal">
      <formula>$S$45</formula>
    </cfRule>
  </conditionalFormatting>
  <conditionalFormatting sqref="T44">
    <cfRule type="cellIs" dxfId="642" priority="17" operator="notEqual">
      <formula>$T$45</formula>
    </cfRule>
    <cfRule type="cellIs" dxfId="641" priority="18" operator="equal">
      <formula>$T$45</formula>
    </cfRule>
  </conditionalFormatting>
  <conditionalFormatting sqref="U44">
    <cfRule type="cellIs" dxfId="640" priority="15" operator="notEqual">
      <formula>$U$45</formula>
    </cfRule>
    <cfRule type="cellIs" dxfId="639" priority="16" operator="equal">
      <formula>$U$45</formula>
    </cfRule>
  </conditionalFormatting>
  <conditionalFormatting sqref="V44">
    <cfRule type="cellIs" dxfId="638" priority="13" operator="notEqual">
      <formula>$V$45</formula>
    </cfRule>
    <cfRule type="cellIs" dxfId="637" priority="14" operator="equal">
      <formula>$V$45</formula>
    </cfRule>
  </conditionalFormatting>
  <conditionalFormatting sqref="W44">
    <cfRule type="cellIs" dxfId="636" priority="11" operator="notEqual">
      <formula>$W$45</formula>
    </cfRule>
    <cfRule type="cellIs" dxfId="635" priority="12" operator="equal">
      <formula>$W$45</formula>
    </cfRule>
  </conditionalFormatting>
  <conditionalFormatting sqref="X44">
    <cfRule type="cellIs" dxfId="634" priority="9" operator="notEqual">
      <formula>$X$45</formula>
    </cfRule>
    <cfRule type="cellIs" dxfId="633" priority="10" operator="equal">
      <formula>$X$45</formula>
    </cfRule>
  </conditionalFormatting>
  <conditionalFormatting sqref="Y44">
    <cfRule type="cellIs" dxfId="632" priority="7" operator="notEqual">
      <formula>$Y$45</formula>
    </cfRule>
    <cfRule type="cellIs" dxfId="631" priority="8" operator="equal">
      <formula>$Y$45</formula>
    </cfRule>
  </conditionalFormatting>
  <conditionalFormatting sqref="Z44">
    <cfRule type="cellIs" dxfId="630" priority="5" operator="notEqual">
      <formula>$Z$45</formula>
    </cfRule>
    <cfRule type="cellIs" dxfId="629" priority="6" operator="equal">
      <formula>$Z$45</formula>
    </cfRule>
  </conditionalFormatting>
  <conditionalFormatting sqref="AA44">
    <cfRule type="cellIs" dxfId="628" priority="3" operator="notEqual">
      <formula>$AA$45</formula>
    </cfRule>
    <cfRule type="cellIs" dxfId="627" priority="4" operator="equal">
      <formula>$AA$45</formula>
    </cfRule>
  </conditionalFormatting>
  <conditionalFormatting sqref="AB44">
    <cfRule type="cellIs" dxfId="626" priority="1" operator="notEqual">
      <formula>$AB$45</formula>
    </cfRule>
    <cfRule type="cellIs" dxfId="625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BB1-AC74-4940-9860-875DE5612667}">
  <dimension ref="A1:AB50"/>
  <sheetViews>
    <sheetView showGridLines="0" topLeftCell="P32" workbookViewId="0">
      <selection activeCell="AB44" sqref="AB44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0" t="s">
        <v>60</v>
      </c>
      <c r="B1" s="100" t="s">
        <v>61</v>
      </c>
      <c r="C1" s="100" t="s">
        <v>62</v>
      </c>
      <c r="D1" s="100" t="s">
        <v>63</v>
      </c>
      <c r="E1" s="100" t="s">
        <v>64</v>
      </c>
      <c r="F1" s="100" t="s">
        <v>15</v>
      </c>
      <c r="G1" s="100" t="s">
        <v>66</v>
      </c>
      <c r="H1" s="100" t="s">
        <v>67</v>
      </c>
      <c r="I1" s="100" t="s">
        <v>600</v>
      </c>
      <c r="J1" s="84"/>
      <c r="L1" s="101" t="s">
        <v>627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101" t="s">
        <v>527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101" t="s">
        <v>500</v>
      </c>
      <c r="M3" s="101"/>
      <c r="N3" s="101"/>
      <c r="O3" s="101"/>
      <c r="P3" s="101"/>
      <c r="Q3" s="101"/>
      <c r="R3" s="101" t="s">
        <v>531</v>
      </c>
      <c r="S3" s="101"/>
      <c r="T3" s="101" t="s">
        <v>509</v>
      </c>
      <c r="U3" s="101"/>
      <c r="V3" s="101"/>
      <c r="W3" s="101"/>
      <c r="X3" s="101" t="s">
        <v>519</v>
      </c>
      <c r="Y3" s="101"/>
      <c r="Z3" s="101" t="s">
        <v>522</v>
      </c>
      <c r="AA3" s="101"/>
      <c r="AB3" s="101" t="s">
        <v>508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502</v>
      </c>
      <c r="M4" s="24" t="s">
        <v>528</v>
      </c>
      <c r="N4" s="24" t="s">
        <v>529</v>
      </c>
      <c r="O4" s="24" t="s">
        <v>588</v>
      </c>
      <c r="P4" s="24" t="s">
        <v>530</v>
      </c>
      <c r="Q4" s="24" t="s">
        <v>508</v>
      </c>
      <c r="R4" s="24" t="s">
        <v>532</v>
      </c>
      <c r="S4" s="24" t="s">
        <v>508</v>
      </c>
      <c r="T4" s="24" t="s">
        <v>533</v>
      </c>
      <c r="U4" s="24" t="s">
        <v>534</v>
      </c>
      <c r="V4" s="24" t="s">
        <v>535</v>
      </c>
      <c r="W4" s="24" t="s">
        <v>508</v>
      </c>
      <c r="X4" s="24" t="s">
        <v>520</v>
      </c>
      <c r="Y4" s="24" t="s">
        <v>508</v>
      </c>
      <c r="Z4" s="24" t="s">
        <v>536</v>
      </c>
      <c r="AA4" s="24" t="s">
        <v>508</v>
      </c>
      <c r="AB4" s="102"/>
    </row>
    <row r="5" spans="1:28" ht="11.25" customHeight="1" x14ac:dyDescent="0.3">
      <c r="A5" s="99" t="s">
        <v>37</v>
      </c>
      <c r="B5" s="99" t="s">
        <v>69</v>
      </c>
      <c r="C5" s="99" t="s">
        <v>25</v>
      </c>
      <c r="D5" s="99" t="s">
        <v>25</v>
      </c>
      <c r="E5" s="99" t="s">
        <v>25</v>
      </c>
      <c r="F5" s="99" t="s">
        <v>25</v>
      </c>
      <c r="G5" s="23" t="s">
        <v>71</v>
      </c>
      <c r="H5" s="23" t="s">
        <v>70</v>
      </c>
      <c r="I5" s="23">
        <f>'MERCADO TE'!$U$2</f>
        <v>497.70600000000002</v>
      </c>
      <c r="J5" s="15"/>
      <c r="L5" s="20">
        <f>'TE BE'!$L$5*'TE BE'!$L$49</f>
        <v>0</v>
      </c>
      <c r="M5" s="20">
        <f>'TE BE'!$M$5*'TE BE'!$M$49</f>
        <v>0</v>
      </c>
      <c r="N5" s="20">
        <f>'TE BE'!$N$5*'TE BE'!$N$49</f>
        <v>0</v>
      </c>
      <c r="O5" s="20">
        <f>'TE BE'!$O$5*'TE BE'!$O$49</f>
        <v>0</v>
      </c>
      <c r="P5" s="20">
        <f>'TE BE'!$P$5*'TE BE'!$P$49</f>
        <v>0</v>
      </c>
      <c r="Q5" s="20">
        <f>SUM($L$5:$P$5)</f>
        <v>0</v>
      </c>
      <c r="R5" s="20">
        <f>'TE BE'!$R$5*'TE BE'!$R$49</f>
        <v>-2.6956479933476385</v>
      </c>
      <c r="S5" s="20">
        <f>SUM($R$5:$R$5)</f>
        <v>-2.6956479933476385</v>
      </c>
      <c r="T5" s="20">
        <f>'TE BE'!$T$5*'TE BE'!$T$49</f>
        <v>0</v>
      </c>
      <c r="U5" s="20">
        <f>'TE BE'!$U$5*'TE BE'!$U$49</f>
        <v>0</v>
      </c>
      <c r="V5" s="20">
        <f>'TE BE'!$V$5*'TE BE'!$V$49</f>
        <v>0</v>
      </c>
      <c r="W5" s="20">
        <f>SUM($T$5:$V$5)</f>
        <v>0</v>
      </c>
      <c r="X5" s="20">
        <f>'TE BE'!$AB$5*'TE BE'!$X$49</f>
        <v>0</v>
      </c>
      <c r="Y5" s="20">
        <f>SUM($X$5:$X$5)</f>
        <v>0</v>
      </c>
      <c r="Z5" s="20">
        <f>'TE BE'!$Z$5*'TE BE'!$Z$49</f>
        <v>0</v>
      </c>
      <c r="AA5" s="20">
        <f>SUM($Z$5:$Z$5)</f>
        <v>0</v>
      </c>
      <c r="AB5" s="20">
        <f>SUMIF($L$4:$AA$4,"SUBTOTAL",$L$5:$AA$5)</f>
        <v>-2.6956479933476385</v>
      </c>
    </row>
    <row r="6" spans="1:28" ht="11.25" customHeight="1" x14ac:dyDescent="0.3">
      <c r="A6" s="99"/>
      <c r="B6" s="99"/>
      <c r="C6" s="99"/>
      <c r="D6" s="99"/>
      <c r="E6" s="99"/>
      <c r="F6" s="99"/>
      <c r="G6" s="23" t="s">
        <v>72</v>
      </c>
      <c r="H6" s="23" t="s">
        <v>70</v>
      </c>
      <c r="I6" s="23">
        <f>'MERCADO TE'!$U$3</f>
        <v>8540.6009999999987</v>
      </c>
      <c r="J6" s="15"/>
      <c r="L6" s="20">
        <f>'TE BE'!$L$6*'TE BE'!$L$49</f>
        <v>0</v>
      </c>
      <c r="M6" s="20">
        <f>'TE BE'!$M$6*'TE BE'!$M$49</f>
        <v>0</v>
      </c>
      <c r="N6" s="20">
        <f>'TE BE'!$N$6*'TE BE'!$N$49</f>
        <v>0</v>
      </c>
      <c r="O6" s="20">
        <f>'TE BE'!$O$6*'TE BE'!$O$49</f>
        <v>0</v>
      </c>
      <c r="P6" s="20">
        <f>'TE BE'!$P$6*'TE BE'!$P$49</f>
        <v>0</v>
      </c>
      <c r="Q6" s="20">
        <f>SUM($L$6:$P$6)</f>
        <v>0</v>
      </c>
      <c r="R6" s="20">
        <f>'TE BE'!$R$6*'TE BE'!$R$49</f>
        <v>-2.6956479933476385</v>
      </c>
      <c r="S6" s="20">
        <f>SUM($R$6:$R$6)</f>
        <v>-2.6956479933476385</v>
      </c>
      <c r="T6" s="20">
        <f>'TE BE'!$T$6*'TE BE'!$T$49</f>
        <v>0</v>
      </c>
      <c r="U6" s="20">
        <f>'TE BE'!$U$6*'TE BE'!$U$49</f>
        <v>0</v>
      </c>
      <c r="V6" s="20">
        <f>'TE BE'!$V$6*'TE BE'!$V$49</f>
        <v>0</v>
      </c>
      <c r="W6" s="20">
        <f>SUM($T$6:$V$6)</f>
        <v>0</v>
      </c>
      <c r="X6" s="20">
        <f>'TE BE'!$AB$6*'TE BE'!$X$49</f>
        <v>0</v>
      </c>
      <c r="Y6" s="20">
        <f>SUM($X$6:$X$6)</f>
        <v>0</v>
      </c>
      <c r="Z6" s="20">
        <f>'TE BE'!$Z$6*'TE BE'!$Z$49</f>
        <v>0</v>
      </c>
      <c r="AA6" s="20">
        <f>SUM($Z$6:$Z$6)</f>
        <v>0</v>
      </c>
      <c r="AB6" s="20">
        <f>SUMIF($L$4:$AA$4,"SUBTOTAL",$L$6:$AA$6)</f>
        <v>-2.6956479933476385</v>
      </c>
    </row>
    <row r="7" spans="1:28" ht="11.25" customHeight="1" x14ac:dyDescent="0.3">
      <c r="A7" s="99"/>
      <c r="B7" s="22" t="s">
        <v>73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74</v>
      </c>
      <c r="H7" s="23" t="s">
        <v>70</v>
      </c>
      <c r="I7" s="23">
        <f>'MERCADO TE'!$U$4</f>
        <v>0</v>
      </c>
      <c r="J7" s="15"/>
      <c r="L7" s="20">
        <f>'TE BE'!$L$7*'TE BE'!$L$49</f>
        <v>0</v>
      </c>
      <c r="M7" s="20">
        <f>'TE BE'!$M$7*'TE BE'!$M$49</f>
        <v>0</v>
      </c>
      <c r="N7" s="20">
        <f>'TE BE'!$N$7*'TE BE'!$N$49</f>
        <v>0</v>
      </c>
      <c r="O7" s="20">
        <f>'TE BE'!$O$7*'TE BE'!$O$49</f>
        <v>0</v>
      </c>
      <c r="P7" s="20">
        <f>'TE BE'!$P$7*'TE BE'!$P$49</f>
        <v>0</v>
      </c>
      <c r="Q7" s="20">
        <f>SUM($L$7:$P$7)</f>
        <v>0</v>
      </c>
      <c r="R7" s="20">
        <f>'TE BE'!$R$7*'TE BE'!$R$49</f>
        <v>-2.6956479933476385</v>
      </c>
      <c r="S7" s="20">
        <f>SUM($R$7:$R$7)</f>
        <v>-2.6956479933476385</v>
      </c>
      <c r="T7" s="20">
        <f>'TE BE'!$T$7*'TE BE'!$T$49</f>
        <v>0</v>
      </c>
      <c r="U7" s="20">
        <f>'TE BE'!$U$7*'TE BE'!$U$49</f>
        <v>0</v>
      </c>
      <c r="V7" s="20">
        <f>'TE BE'!$V$7*'TE BE'!$V$49</f>
        <v>0</v>
      </c>
      <c r="W7" s="20">
        <f>SUM($T$7:$V$7)</f>
        <v>0</v>
      </c>
      <c r="X7" s="20">
        <f>'TE BE'!$AB$7*'TE BE'!$X$49</f>
        <v>0</v>
      </c>
      <c r="Y7" s="20">
        <f>SUM($X$7:$X$7)</f>
        <v>0</v>
      </c>
      <c r="Z7" s="20">
        <f>'TE BE'!$Z$7*'TE BE'!$Z$49</f>
        <v>0</v>
      </c>
      <c r="AA7" s="20">
        <f>SUM($Z$7:$Z$7)</f>
        <v>0</v>
      </c>
      <c r="AB7" s="20">
        <f>SUMIF($L$4:$AA$4,"SUBTOTAL",$L$7:$AA$7)</f>
        <v>-2.6956479933476385</v>
      </c>
    </row>
    <row r="8" spans="1:28" ht="11.25" customHeight="1" x14ac:dyDescent="0.3">
      <c r="A8" s="99" t="s">
        <v>22</v>
      </c>
      <c r="B8" s="99" t="s">
        <v>69</v>
      </c>
      <c r="C8" s="99" t="s">
        <v>24</v>
      </c>
      <c r="D8" s="99" t="s">
        <v>24</v>
      </c>
      <c r="E8" s="99" t="s">
        <v>25</v>
      </c>
      <c r="F8" s="99" t="s">
        <v>25</v>
      </c>
      <c r="G8" s="23" t="s">
        <v>71</v>
      </c>
      <c r="H8" s="23" t="s">
        <v>70</v>
      </c>
      <c r="I8" s="23">
        <f>'MERCADO TE'!$U$5</f>
        <v>0.66799999999999993</v>
      </c>
      <c r="J8" s="15"/>
      <c r="L8" s="20">
        <f>'TE BE'!$L$8*'TE BE'!$L$49</f>
        <v>0</v>
      </c>
      <c r="M8" s="20">
        <f>'TE BE'!$M$8*'TE BE'!$M$49</f>
        <v>0</v>
      </c>
      <c r="N8" s="20">
        <f>'TE BE'!$N$8*'TE BE'!$N$49</f>
        <v>0</v>
      </c>
      <c r="O8" s="20">
        <f>'TE BE'!$O$8*'TE BE'!$O$49</f>
        <v>0</v>
      </c>
      <c r="P8" s="20">
        <f>'TE BE'!$P$8*'TE BE'!$P$49</f>
        <v>0</v>
      </c>
      <c r="Q8" s="20">
        <f>SUM($L$8:$P$8)</f>
        <v>0</v>
      </c>
      <c r="R8" s="20">
        <f>'TE BE'!$R$8*'TE BE'!$R$49</f>
        <v>-2.6956479933476385</v>
      </c>
      <c r="S8" s="20">
        <f>SUM($R$8:$R$8)</f>
        <v>-2.6956479933476385</v>
      </c>
      <c r="T8" s="20">
        <f>'TE BE'!$T$8*'TE BE'!$T$49</f>
        <v>0</v>
      </c>
      <c r="U8" s="20">
        <f>'TE BE'!$U$8*'TE BE'!$U$49</f>
        <v>0</v>
      </c>
      <c r="V8" s="20">
        <f>'TE BE'!$V$8*'TE BE'!$V$49</f>
        <v>0</v>
      </c>
      <c r="W8" s="20">
        <f>SUM($T$8:$V$8)</f>
        <v>0</v>
      </c>
      <c r="X8" s="20">
        <f>'TE BE'!$AB$8*'TE BE'!$X$49</f>
        <v>0</v>
      </c>
      <c r="Y8" s="20">
        <f>SUM($X$8:$X$8)</f>
        <v>0</v>
      </c>
      <c r="Z8" s="20">
        <f>'TE BE'!$Z$8*'TE BE'!$Z$49</f>
        <v>0</v>
      </c>
      <c r="AA8" s="20">
        <f>SUM($Z$8:$Z$8)</f>
        <v>0</v>
      </c>
      <c r="AB8" s="20">
        <f>SUMIF($L$4:$AA$4,"SUBTOTAL",$L$8:$AA$8)</f>
        <v>-2.6956479933476385</v>
      </c>
    </row>
    <row r="9" spans="1:28" ht="11.25" customHeight="1" x14ac:dyDescent="0.3">
      <c r="A9" s="99"/>
      <c r="B9" s="99"/>
      <c r="C9" s="99"/>
      <c r="D9" s="99"/>
      <c r="E9" s="99"/>
      <c r="F9" s="99"/>
      <c r="G9" s="23" t="s">
        <v>83</v>
      </c>
      <c r="H9" s="23" t="s">
        <v>70</v>
      </c>
      <c r="I9" s="23">
        <f>'MERCADO TE'!$U$6</f>
        <v>0.34</v>
      </c>
      <c r="J9" s="15"/>
      <c r="L9" s="20">
        <f>'TE BE'!$L$9*'TE BE'!$L$49</f>
        <v>0</v>
      </c>
      <c r="M9" s="20">
        <f>'TE BE'!$M$9*'TE BE'!$M$49</f>
        <v>0</v>
      </c>
      <c r="N9" s="20">
        <f>'TE BE'!$N$9*'TE BE'!$N$49</f>
        <v>0</v>
      </c>
      <c r="O9" s="20">
        <f>'TE BE'!$O$9*'TE BE'!$O$49</f>
        <v>0</v>
      </c>
      <c r="P9" s="20">
        <f>'TE BE'!$P$9*'TE BE'!$P$49</f>
        <v>0</v>
      </c>
      <c r="Q9" s="20">
        <f>SUM($L$9:$P$9)</f>
        <v>0</v>
      </c>
      <c r="R9" s="20">
        <f>'TE BE'!$R$9*'TE BE'!$R$49</f>
        <v>-2.6956479933476385</v>
      </c>
      <c r="S9" s="20">
        <f>SUM($R$9:$R$9)</f>
        <v>-2.6956479933476385</v>
      </c>
      <c r="T9" s="20">
        <f>'TE BE'!$T$9*'TE BE'!$T$49</f>
        <v>0</v>
      </c>
      <c r="U9" s="20">
        <f>'TE BE'!$U$9*'TE BE'!$U$49</f>
        <v>0</v>
      </c>
      <c r="V9" s="20">
        <f>'TE BE'!$V$9*'TE BE'!$V$49</f>
        <v>0</v>
      </c>
      <c r="W9" s="20">
        <f>SUM($T$9:$V$9)</f>
        <v>0</v>
      </c>
      <c r="X9" s="20">
        <f>'TE BE'!$AB$9*'TE BE'!$X$49</f>
        <v>0</v>
      </c>
      <c r="Y9" s="20">
        <f>SUM($X$9:$X$9)</f>
        <v>0</v>
      </c>
      <c r="Z9" s="20">
        <f>'TE BE'!$Z$9*'TE BE'!$Z$49</f>
        <v>0</v>
      </c>
      <c r="AA9" s="20">
        <f>SUM($Z$9:$Z$9)</f>
        <v>0</v>
      </c>
      <c r="AB9" s="20">
        <f>SUMIF($L$4:$AA$4,"SUBTOTAL",$L$9:$AA$9)</f>
        <v>-2.6956479933476385</v>
      </c>
    </row>
    <row r="10" spans="1:28" ht="11.25" customHeight="1" x14ac:dyDescent="0.3">
      <c r="A10" s="99"/>
      <c r="B10" s="99"/>
      <c r="C10" s="99"/>
      <c r="D10" s="99"/>
      <c r="E10" s="99"/>
      <c r="F10" s="99"/>
      <c r="G10" s="23" t="s">
        <v>72</v>
      </c>
      <c r="H10" s="23" t="s">
        <v>70</v>
      </c>
      <c r="I10" s="23">
        <f>'MERCADO TE'!$U$7</f>
        <v>8.6609999999999996</v>
      </c>
      <c r="J10" s="15"/>
      <c r="L10" s="20">
        <f>'TE BE'!$L$10*'TE BE'!$L$49</f>
        <v>0</v>
      </c>
      <c r="M10" s="20">
        <f>'TE BE'!$M$10*'TE BE'!$M$49</f>
        <v>0</v>
      </c>
      <c r="N10" s="20">
        <f>'TE BE'!$N$10*'TE BE'!$N$49</f>
        <v>0</v>
      </c>
      <c r="O10" s="20">
        <f>'TE BE'!$O$10*'TE BE'!$O$49</f>
        <v>0</v>
      </c>
      <c r="P10" s="20">
        <f>'TE BE'!$P$10*'TE BE'!$P$49</f>
        <v>0</v>
      </c>
      <c r="Q10" s="20">
        <f>SUM($L$10:$P$10)</f>
        <v>0</v>
      </c>
      <c r="R10" s="20">
        <f>'TE BE'!$R$10*'TE BE'!$R$49</f>
        <v>-2.6956479933476385</v>
      </c>
      <c r="S10" s="20">
        <f>SUM($R$10:$R$10)</f>
        <v>-2.6956479933476385</v>
      </c>
      <c r="T10" s="20">
        <f>'TE BE'!$T$10*'TE BE'!$T$49</f>
        <v>0</v>
      </c>
      <c r="U10" s="20">
        <f>'TE BE'!$U$10*'TE BE'!$U$49</f>
        <v>0</v>
      </c>
      <c r="V10" s="20">
        <f>'TE BE'!$V$10*'TE BE'!$V$49</f>
        <v>0</v>
      </c>
      <c r="W10" s="20">
        <f>SUM($T$10:$V$10)</f>
        <v>0</v>
      </c>
      <c r="X10" s="20">
        <f>'TE BE'!$AB$10*'TE BE'!$X$49</f>
        <v>0</v>
      </c>
      <c r="Y10" s="20">
        <f>SUM($X$10:$X$10)</f>
        <v>0</v>
      </c>
      <c r="Z10" s="20">
        <f>'TE BE'!$Z$10*'TE BE'!$Z$49</f>
        <v>0</v>
      </c>
      <c r="AA10" s="20">
        <f>SUM($Z$10:$Z$10)</f>
        <v>0</v>
      </c>
      <c r="AB10" s="20">
        <f>SUMIF($L$4:$AA$4,"SUBTOTAL",$L$10:$AA$10)</f>
        <v>-2.6956479933476385</v>
      </c>
    </row>
    <row r="11" spans="1:28" ht="11.25" customHeight="1" x14ac:dyDescent="0.3">
      <c r="A11" s="99"/>
      <c r="B11" s="99" t="s">
        <v>73</v>
      </c>
      <c r="C11" s="99" t="s">
        <v>24</v>
      </c>
      <c r="D11" s="22" t="s">
        <v>24</v>
      </c>
      <c r="E11" s="22" t="s">
        <v>25</v>
      </c>
      <c r="F11" s="22" t="s">
        <v>25</v>
      </c>
      <c r="G11" s="23" t="s">
        <v>74</v>
      </c>
      <c r="H11" s="23" t="s">
        <v>70</v>
      </c>
      <c r="I11" s="23">
        <f>'MERCADO TE'!$U$8</f>
        <v>15958.987000000001</v>
      </c>
      <c r="J11" s="15"/>
      <c r="L11" s="20">
        <f>'TE BE'!$L$11*'TE BE'!$L$49</f>
        <v>0</v>
      </c>
      <c r="M11" s="20">
        <f>'TE BE'!$M$11*'TE BE'!$M$49</f>
        <v>0</v>
      </c>
      <c r="N11" s="20">
        <f>'TE BE'!$N$11*'TE BE'!$N$49</f>
        <v>0</v>
      </c>
      <c r="O11" s="20">
        <f>'TE BE'!$O$11*'TE BE'!$O$49</f>
        <v>0</v>
      </c>
      <c r="P11" s="20">
        <f>'TE BE'!$P$11*'TE BE'!$P$49</f>
        <v>0</v>
      </c>
      <c r="Q11" s="20">
        <f>SUM($L$11:$P$11)</f>
        <v>0</v>
      </c>
      <c r="R11" s="20">
        <f>'TE BE'!$R$11*'TE BE'!$R$49</f>
        <v>-2.6956479933476385</v>
      </c>
      <c r="S11" s="20">
        <f>SUM($R$11:$R$11)</f>
        <v>-2.6956479933476385</v>
      </c>
      <c r="T11" s="20">
        <f>'TE BE'!$T$11*'TE BE'!$T$49</f>
        <v>0</v>
      </c>
      <c r="U11" s="20">
        <f>'TE BE'!$U$11*'TE BE'!$U$49</f>
        <v>0</v>
      </c>
      <c r="V11" s="20">
        <f>'TE BE'!$V$11*'TE BE'!$V$49</f>
        <v>0</v>
      </c>
      <c r="W11" s="20">
        <f>SUM($T$11:$V$11)</f>
        <v>0</v>
      </c>
      <c r="X11" s="20">
        <f>'TE BE'!$AB$11*'TE BE'!$X$49</f>
        <v>0</v>
      </c>
      <c r="Y11" s="20">
        <f>SUM($X$11:$X$11)</f>
        <v>0</v>
      </c>
      <c r="Z11" s="20">
        <f>'TE BE'!$Z$11*'TE BE'!$Z$49</f>
        <v>0</v>
      </c>
      <c r="AA11" s="20">
        <f>SUM($Z$11:$Z$11)</f>
        <v>0</v>
      </c>
      <c r="AB11" s="20">
        <f>SUMIF($L$4:$AA$4,"SUBTOTAL",$L$11:$AA$11)</f>
        <v>-2.6956479933476385</v>
      </c>
    </row>
    <row r="12" spans="1:28" ht="11.25" customHeight="1" x14ac:dyDescent="0.3">
      <c r="A12" s="99"/>
      <c r="B12" s="99"/>
      <c r="C12" s="99"/>
      <c r="D12" s="22" t="s">
        <v>29</v>
      </c>
      <c r="E12" s="22" t="s">
        <v>25</v>
      </c>
      <c r="F12" s="22" t="s">
        <v>25</v>
      </c>
      <c r="G12" s="23" t="s">
        <v>74</v>
      </c>
      <c r="H12" s="23" t="s">
        <v>70</v>
      </c>
      <c r="I12" s="23">
        <f>'MERCADO TE'!$U$9</f>
        <v>86.132999999999996</v>
      </c>
      <c r="J12" s="15"/>
      <c r="L12" s="20">
        <f>'TE BE'!$L$12*'TE BE'!$L$49</f>
        <v>0</v>
      </c>
      <c r="M12" s="20">
        <f>'TE BE'!$M$12*'TE BE'!$M$49</f>
        <v>0</v>
      </c>
      <c r="N12" s="20">
        <f>'TE BE'!$N$12*'TE BE'!$N$49</f>
        <v>0</v>
      </c>
      <c r="O12" s="20">
        <f>'TE BE'!$O$12*'TE BE'!$O$49</f>
        <v>0</v>
      </c>
      <c r="P12" s="20">
        <f>'TE BE'!$P$12*'TE BE'!$P$49</f>
        <v>0</v>
      </c>
      <c r="Q12" s="20">
        <f>SUM($L$12:$P$12)</f>
        <v>0</v>
      </c>
      <c r="R12" s="20">
        <f>'TE BE'!$R$12*'TE BE'!$R$49</f>
        <v>-2.6956479933476385</v>
      </c>
      <c r="S12" s="20">
        <f>SUM($R$12:$R$12)</f>
        <v>-2.6956479933476385</v>
      </c>
      <c r="T12" s="20">
        <f>'TE BE'!$T$12*'TE BE'!$T$49</f>
        <v>0</v>
      </c>
      <c r="U12" s="20">
        <f>'TE BE'!$U$12*'TE BE'!$U$49</f>
        <v>0</v>
      </c>
      <c r="V12" s="20">
        <f>'TE BE'!$V$12*'TE BE'!$V$49</f>
        <v>0</v>
      </c>
      <c r="W12" s="20">
        <f>SUM($T$12:$V$12)</f>
        <v>0</v>
      </c>
      <c r="X12" s="20">
        <f>'TE BE'!$AB$12*'TE BE'!$X$49</f>
        <v>0</v>
      </c>
      <c r="Y12" s="20">
        <f>SUM($X$12:$X$12)</f>
        <v>0</v>
      </c>
      <c r="Z12" s="20">
        <f>'TE BE'!$Z$12*'TE BE'!$Z$49</f>
        <v>0</v>
      </c>
      <c r="AA12" s="20">
        <f>SUM($Z$12:$Z$12)</f>
        <v>0</v>
      </c>
      <c r="AB12" s="20">
        <f>SUMIF($L$4:$AA$4,"SUBTOTAL",$L$12:$AA$12)</f>
        <v>-2.6956479933476385</v>
      </c>
    </row>
    <row r="13" spans="1:28" ht="11.25" customHeight="1" x14ac:dyDescent="0.3">
      <c r="A13" s="99"/>
      <c r="B13" s="99"/>
      <c r="C13" s="99"/>
      <c r="D13" s="22" t="s">
        <v>30</v>
      </c>
      <c r="E13" s="22" t="s">
        <v>25</v>
      </c>
      <c r="F13" s="22" t="s">
        <v>25</v>
      </c>
      <c r="G13" s="23" t="s">
        <v>74</v>
      </c>
      <c r="H13" s="23" t="s">
        <v>70</v>
      </c>
      <c r="I13" s="23">
        <f>'MERCADO TE'!$U$10</f>
        <v>172.315</v>
      </c>
      <c r="J13" s="15"/>
      <c r="L13" s="20">
        <f>'TE BE'!$L$13*'TE BE'!$L$49</f>
        <v>0</v>
      </c>
      <c r="M13" s="20">
        <f>'TE BE'!$M$13*'TE BE'!$M$49</f>
        <v>0</v>
      </c>
      <c r="N13" s="20">
        <f>'TE BE'!$N$13*'TE BE'!$N$49</f>
        <v>0</v>
      </c>
      <c r="O13" s="20">
        <f>'TE BE'!$O$13*'TE BE'!$O$49</f>
        <v>0</v>
      </c>
      <c r="P13" s="20">
        <f>'TE BE'!$P$13*'TE BE'!$P$49</f>
        <v>0</v>
      </c>
      <c r="Q13" s="20">
        <f>SUM($L$13:$P$13)</f>
        <v>0</v>
      </c>
      <c r="R13" s="20">
        <f>'TE BE'!$R$13*'TE BE'!$R$49</f>
        <v>-2.6956479933476385</v>
      </c>
      <c r="S13" s="20">
        <f>SUM($R$13:$R$13)</f>
        <v>-2.6956479933476385</v>
      </c>
      <c r="T13" s="20">
        <f>'TE BE'!$T$13*'TE BE'!$T$49</f>
        <v>0</v>
      </c>
      <c r="U13" s="20">
        <f>'TE BE'!$U$13*'TE BE'!$U$49</f>
        <v>0</v>
      </c>
      <c r="V13" s="20">
        <f>'TE BE'!$V$13*'TE BE'!$V$49</f>
        <v>0</v>
      </c>
      <c r="W13" s="20">
        <f>SUM($T$13:$V$13)</f>
        <v>0</v>
      </c>
      <c r="X13" s="20">
        <f>'TE BE'!$AB$13*'TE BE'!$X$49</f>
        <v>0</v>
      </c>
      <c r="Y13" s="20">
        <f>SUM($X$13:$X$13)</f>
        <v>0</v>
      </c>
      <c r="Z13" s="20">
        <f>'TE BE'!$Z$13*'TE BE'!$Z$49</f>
        <v>0</v>
      </c>
      <c r="AA13" s="20">
        <f>SUM($Z$13:$Z$13)</f>
        <v>0</v>
      </c>
      <c r="AB13" s="20">
        <f>SUMIF($L$4:$AA$4,"SUBTOTAL",$L$13:$AA$13)</f>
        <v>-2.6956479933476385</v>
      </c>
    </row>
    <row r="14" spans="1:28" ht="11.25" customHeight="1" x14ac:dyDescent="0.3">
      <c r="A14" s="99"/>
      <c r="B14" s="99"/>
      <c r="C14" s="99"/>
      <c r="D14" s="22" t="s">
        <v>31</v>
      </c>
      <c r="E14" s="22" t="s">
        <v>25</v>
      </c>
      <c r="F14" s="22" t="s">
        <v>25</v>
      </c>
      <c r="G14" s="23" t="s">
        <v>74</v>
      </c>
      <c r="H14" s="23" t="s">
        <v>70</v>
      </c>
      <c r="I14" s="23">
        <f>'MERCADO TE'!$U$11</f>
        <v>174.131</v>
      </c>
      <c r="J14" s="15"/>
      <c r="L14" s="20">
        <f>'TE BE'!$L$14*'TE BE'!$L$49</f>
        <v>0</v>
      </c>
      <c r="M14" s="20">
        <f>'TE BE'!$M$14*'TE BE'!$M$49</f>
        <v>0</v>
      </c>
      <c r="N14" s="20">
        <f>'TE BE'!$N$14*'TE BE'!$N$49</f>
        <v>0</v>
      </c>
      <c r="O14" s="20">
        <f>'TE BE'!$O$14*'TE BE'!$O$49</f>
        <v>0</v>
      </c>
      <c r="P14" s="20">
        <f>'TE BE'!$P$14*'TE BE'!$P$49</f>
        <v>0</v>
      </c>
      <c r="Q14" s="20">
        <f>SUM($L$14:$P$14)</f>
        <v>0</v>
      </c>
      <c r="R14" s="20">
        <f>'TE BE'!$R$14*'TE BE'!$R$49</f>
        <v>-2.6956479933476385</v>
      </c>
      <c r="S14" s="20">
        <f>SUM($R$14:$R$14)</f>
        <v>-2.6956479933476385</v>
      </c>
      <c r="T14" s="20">
        <f>'TE BE'!$T$14*'TE BE'!$T$49</f>
        <v>0</v>
      </c>
      <c r="U14" s="20">
        <f>'TE BE'!$U$14*'TE BE'!$U$49</f>
        <v>0</v>
      </c>
      <c r="V14" s="20">
        <f>'TE BE'!$V$14*'TE BE'!$V$49</f>
        <v>0</v>
      </c>
      <c r="W14" s="20">
        <f>SUM($T$14:$V$14)</f>
        <v>0</v>
      </c>
      <c r="X14" s="20">
        <f>'TE BE'!$AB$14*'TE BE'!$X$49</f>
        <v>0</v>
      </c>
      <c r="Y14" s="20">
        <f>SUM($X$14:$X$14)</f>
        <v>0</v>
      </c>
      <c r="Z14" s="20">
        <f>'TE BE'!$Z$14*'TE BE'!$Z$49</f>
        <v>0</v>
      </c>
      <c r="AA14" s="20">
        <f>SUM($Z$14:$Z$14)</f>
        <v>0</v>
      </c>
      <c r="AB14" s="20">
        <f>SUMIF($L$4:$AA$4,"SUBTOTAL",$L$14:$AA$14)</f>
        <v>-2.6956479933476385</v>
      </c>
    </row>
    <row r="15" spans="1:28" ht="11.25" customHeight="1" x14ac:dyDescent="0.3">
      <c r="A15" s="99"/>
      <c r="B15" s="99"/>
      <c r="C15" s="99"/>
      <c r="D15" s="22" t="s">
        <v>32</v>
      </c>
      <c r="E15" s="22" t="s">
        <v>25</v>
      </c>
      <c r="F15" s="22" t="s">
        <v>25</v>
      </c>
      <c r="G15" s="23" t="s">
        <v>74</v>
      </c>
      <c r="H15" s="23" t="s">
        <v>70</v>
      </c>
      <c r="I15" s="23">
        <f>'MERCADO TE'!$U$12</f>
        <v>71.680000000000007</v>
      </c>
      <c r="J15" s="15"/>
      <c r="L15" s="20">
        <f>'TE BE'!$L$15*'TE BE'!$L$49</f>
        <v>0</v>
      </c>
      <c r="M15" s="20">
        <f>'TE BE'!$M$15*'TE BE'!$M$49</f>
        <v>0</v>
      </c>
      <c r="N15" s="20">
        <f>'TE BE'!$N$15*'TE BE'!$N$49</f>
        <v>0</v>
      </c>
      <c r="O15" s="20">
        <f>'TE BE'!$O$15*'TE BE'!$O$49</f>
        <v>0</v>
      </c>
      <c r="P15" s="20">
        <f>'TE BE'!$P$15*'TE BE'!$P$49</f>
        <v>0</v>
      </c>
      <c r="Q15" s="20">
        <f>SUM($L$15:$P$15)</f>
        <v>0</v>
      </c>
      <c r="R15" s="20">
        <f>'TE BE'!$R$15*'TE BE'!$R$49</f>
        <v>-2.6956479933476385</v>
      </c>
      <c r="S15" s="20">
        <f>SUM($R$15:$R$15)</f>
        <v>-2.6956479933476385</v>
      </c>
      <c r="T15" s="20">
        <f>'TE BE'!$T$15*'TE BE'!$T$49</f>
        <v>0</v>
      </c>
      <c r="U15" s="20">
        <f>'TE BE'!$U$15*'TE BE'!$U$49</f>
        <v>0</v>
      </c>
      <c r="V15" s="20">
        <f>'TE BE'!$V$15*'TE BE'!$V$49</f>
        <v>0</v>
      </c>
      <c r="W15" s="20">
        <f>SUM($T$15:$V$15)</f>
        <v>0</v>
      </c>
      <c r="X15" s="20">
        <f>'TE BE'!$AB$15*'TE BE'!$X$49</f>
        <v>0</v>
      </c>
      <c r="Y15" s="20">
        <f>SUM($X$15:$X$15)</f>
        <v>0</v>
      </c>
      <c r="Z15" s="20">
        <f>'TE BE'!$Z$15*'TE BE'!$Z$49</f>
        <v>0</v>
      </c>
      <c r="AA15" s="20">
        <f>SUM($Z$15:$Z$15)</f>
        <v>0</v>
      </c>
      <c r="AB15" s="20">
        <f>SUMIF($L$4:$AA$4,"SUBTOTAL",$L$15:$AA$15)</f>
        <v>-2.6956479933476385</v>
      </c>
    </row>
    <row r="16" spans="1:28" ht="11.25" customHeight="1" x14ac:dyDescent="0.3">
      <c r="A16" s="99"/>
      <c r="B16" s="99" t="s">
        <v>84</v>
      </c>
      <c r="C16" s="99" t="s">
        <v>24</v>
      </c>
      <c r="D16" s="22" t="s">
        <v>24</v>
      </c>
      <c r="E16" s="22" t="s">
        <v>25</v>
      </c>
      <c r="F16" s="22" t="s">
        <v>25</v>
      </c>
      <c r="G16" s="23" t="s">
        <v>74</v>
      </c>
      <c r="H16" s="23" t="s">
        <v>70</v>
      </c>
      <c r="I16" s="23">
        <f>'MERCADO TE'!$U$13</f>
        <v>0</v>
      </c>
      <c r="J16" s="15"/>
      <c r="L16" s="20">
        <f>'TE BE'!$L$16*'TE BE'!$L$49</f>
        <v>0</v>
      </c>
      <c r="M16" s="20">
        <f>'TE BE'!$M$16*'TE BE'!$M$49</f>
        <v>0</v>
      </c>
      <c r="N16" s="20">
        <f>'TE BE'!$N$16*'TE BE'!$N$49</f>
        <v>0</v>
      </c>
      <c r="O16" s="20">
        <f>'TE BE'!$O$16*'TE BE'!$O$49</f>
        <v>0</v>
      </c>
      <c r="P16" s="20">
        <f>'TE BE'!$P$16*'TE BE'!$P$49</f>
        <v>0</v>
      </c>
      <c r="Q16" s="20">
        <f>SUM($L$16:$P$16)</f>
        <v>0</v>
      </c>
      <c r="R16" s="20">
        <f>'TE BE'!$R$16*'TE BE'!$R$49</f>
        <v>-2.6956479933476385</v>
      </c>
      <c r="S16" s="20">
        <f>SUM($R$16:$R$16)</f>
        <v>-2.6956479933476385</v>
      </c>
      <c r="T16" s="20">
        <f>'TE BE'!$T$16*'TE BE'!$T$49</f>
        <v>0</v>
      </c>
      <c r="U16" s="20">
        <f>'TE BE'!$U$16*'TE BE'!$U$49</f>
        <v>0</v>
      </c>
      <c r="V16" s="20">
        <f>'TE BE'!$V$16*'TE BE'!$V$49</f>
        <v>0</v>
      </c>
      <c r="W16" s="20">
        <f>SUM($T$16:$V$16)</f>
        <v>0</v>
      </c>
      <c r="X16" s="20">
        <f>'TE BE'!$AB$16*'TE BE'!$X$49</f>
        <v>0</v>
      </c>
      <c r="Y16" s="20">
        <f>SUM($X$16:$X$16)</f>
        <v>0</v>
      </c>
      <c r="Z16" s="20">
        <f>'TE BE'!$Z$16*'TE BE'!$Z$49</f>
        <v>0</v>
      </c>
      <c r="AA16" s="20">
        <f>SUM($Z$16:$Z$16)</f>
        <v>0</v>
      </c>
      <c r="AB16" s="20">
        <f>SUMIF($L$4:$AA$4,"SUBTOTAL",$L$16:$AA$16)</f>
        <v>-2.6956479933476385</v>
      </c>
    </row>
    <row r="17" spans="1:28" ht="11.25" customHeight="1" x14ac:dyDescent="0.3">
      <c r="A17" s="99"/>
      <c r="B17" s="99"/>
      <c r="C17" s="99"/>
      <c r="D17" s="22" t="s">
        <v>29</v>
      </c>
      <c r="E17" s="22" t="s">
        <v>25</v>
      </c>
      <c r="F17" s="22" t="s">
        <v>25</v>
      </c>
      <c r="G17" s="23" t="s">
        <v>74</v>
      </c>
      <c r="H17" s="23" t="s">
        <v>70</v>
      </c>
      <c r="I17" s="23">
        <f>'MERCADO TE'!$U$14</f>
        <v>0</v>
      </c>
      <c r="J17" s="15"/>
      <c r="L17" s="20">
        <f>'TE BE'!$L$17*'TE BE'!$L$49</f>
        <v>0</v>
      </c>
      <c r="M17" s="20">
        <f>'TE BE'!$M$17*'TE BE'!$M$49</f>
        <v>0</v>
      </c>
      <c r="N17" s="20">
        <f>'TE BE'!$N$17*'TE BE'!$N$49</f>
        <v>0</v>
      </c>
      <c r="O17" s="20">
        <f>'TE BE'!$O$17*'TE BE'!$O$49</f>
        <v>0</v>
      </c>
      <c r="P17" s="20">
        <f>'TE BE'!$P$17*'TE BE'!$P$49</f>
        <v>0</v>
      </c>
      <c r="Q17" s="20">
        <f>SUM($L$17:$P$17)</f>
        <v>0</v>
      </c>
      <c r="R17" s="20">
        <f>'TE BE'!$R$17*'TE BE'!$R$49</f>
        <v>-2.6956479933476385</v>
      </c>
      <c r="S17" s="20">
        <f>SUM($R$17:$R$17)</f>
        <v>-2.6956479933476385</v>
      </c>
      <c r="T17" s="20">
        <f>'TE BE'!$T$17*'TE BE'!$T$49</f>
        <v>0</v>
      </c>
      <c r="U17" s="20">
        <f>'TE BE'!$U$17*'TE BE'!$U$49</f>
        <v>0</v>
      </c>
      <c r="V17" s="20">
        <f>'TE BE'!$V$17*'TE BE'!$V$49</f>
        <v>0</v>
      </c>
      <c r="W17" s="20">
        <f>SUM($T$17:$V$17)</f>
        <v>0</v>
      </c>
      <c r="X17" s="20">
        <f>'TE BE'!$AB$17*'TE BE'!$X$49</f>
        <v>0</v>
      </c>
      <c r="Y17" s="20">
        <f>SUM($X$17:$X$17)</f>
        <v>0</v>
      </c>
      <c r="Z17" s="20">
        <f>'TE BE'!$Z$17*'TE BE'!$Z$49</f>
        <v>0</v>
      </c>
      <c r="AA17" s="20">
        <f>SUM($Z$17:$Z$17)</f>
        <v>0</v>
      </c>
      <c r="AB17" s="20">
        <f>SUMIF($L$4:$AA$4,"SUBTOTAL",$L$17:$AA$17)</f>
        <v>-2.6956479933476385</v>
      </c>
    </row>
    <row r="18" spans="1:28" ht="11.25" customHeight="1" x14ac:dyDescent="0.3">
      <c r="A18" s="99"/>
      <c r="B18" s="99"/>
      <c r="C18" s="99"/>
      <c r="D18" s="22" t="s">
        <v>30</v>
      </c>
      <c r="E18" s="22" t="s">
        <v>25</v>
      </c>
      <c r="F18" s="22" t="s">
        <v>25</v>
      </c>
      <c r="G18" s="23" t="s">
        <v>74</v>
      </c>
      <c r="H18" s="23" t="s">
        <v>70</v>
      </c>
      <c r="I18" s="23">
        <f>'MERCADO TE'!$U$15</f>
        <v>0</v>
      </c>
      <c r="J18" s="15"/>
      <c r="L18" s="20">
        <f>'TE BE'!$L$18*'TE BE'!$L$49</f>
        <v>0</v>
      </c>
      <c r="M18" s="20">
        <f>'TE BE'!$M$18*'TE BE'!$M$49</f>
        <v>0</v>
      </c>
      <c r="N18" s="20">
        <f>'TE BE'!$N$18*'TE BE'!$N$49</f>
        <v>0</v>
      </c>
      <c r="O18" s="20">
        <f>'TE BE'!$O$18*'TE BE'!$O$49</f>
        <v>0</v>
      </c>
      <c r="P18" s="20">
        <f>'TE BE'!$P$18*'TE BE'!$P$49</f>
        <v>0</v>
      </c>
      <c r="Q18" s="20">
        <f>SUM($L$18:$P$18)</f>
        <v>0</v>
      </c>
      <c r="R18" s="20">
        <f>'TE BE'!$R$18*'TE BE'!$R$49</f>
        <v>-2.6956479933476385</v>
      </c>
      <c r="S18" s="20">
        <f>SUM($R$18:$R$18)</f>
        <v>-2.6956479933476385</v>
      </c>
      <c r="T18" s="20">
        <f>'TE BE'!$T$18*'TE BE'!$T$49</f>
        <v>0</v>
      </c>
      <c r="U18" s="20">
        <f>'TE BE'!$U$18*'TE BE'!$U$49</f>
        <v>0</v>
      </c>
      <c r="V18" s="20">
        <f>'TE BE'!$V$18*'TE BE'!$V$49</f>
        <v>0</v>
      </c>
      <c r="W18" s="20">
        <f>SUM($T$18:$V$18)</f>
        <v>0</v>
      </c>
      <c r="X18" s="20">
        <f>'TE BE'!$AB$18*'TE BE'!$X$49</f>
        <v>0</v>
      </c>
      <c r="Y18" s="20">
        <f>SUM($X$18:$X$18)</f>
        <v>0</v>
      </c>
      <c r="Z18" s="20">
        <f>'TE BE'!$Z$18*'TE BE'!$Z$49</f>
        <v>0</v>
      </c>
      <c r="AA18" s="20">
        <f>SUM($Z$18:$Z$18)</f>
        <v>0</v>
      </c>
      <c r="AB18" s="20">
        <f>SUMIF($L$4:$AA$4,"SUBTOTAL",$L$18:$AA$18)</f>
        <v>-2.6956479933476385</v>
      </c>
    </row>
    <row r="19" spans="1:28" ht="11.25" customHeight="1" x14ac:dyDescent="0.3">
      <c r="A19" s="99"/>
      <c r="B19" s="99"/>
      <c r="C19" s="99"/>
      <c r="D19" s="22" t="s">
        <v>31</v>
      </c>
      <c r="E19" s="22" t="s">
        <v>25</v>
      </c>
      <c r="F19" s="22" t="s">
        <v>25</v>
      </c>
      <c r="G19" s="23" t="s">
        <v>74</v>
      </c>
      <c r="H19" s="23" t="s">
        <v>70</v>
      </c>
      <c r="I19" s="23">
        <f>'MERCADO TE'!$U$16</f>
        <v>0</v>
      </c>
      <c r="J19" s="15"/>
      <c r="L19" s="20">
        <f>'TE BE'!$L$19*'TE BE'!$L$49</f>
        <v>0</v>
      </c>
      <c r="M19" s="20">
        <f>'TE BE'!$M$19*'TE BE'!$M$49</f>
        <v>0</v>
      </c>
      <c r="N19" s="20">
        <f>'TE BE'!$N$19*'TE BE'!$N$49</f>
        <v>0</v>
      </c>
      <c r="O19" s="20">
        <f>'TE BE'!$O$19*'TE BE'!$O$49</f>
        <v>0</v>
      </c>
      <c r="P19" s="20">
        <f>'TE BE'!$P$19*'TE BE'!$P$49</f>
        <v>0</v>
      </c>
      <c r="Q19" s="20">
        <f>SUM($L$19:$P$19)</f>
        <v>0</v>
      </c>
      <c r="R19" s="20">
        <f>'TE BE'!$R$19*'TE BE'!$R$49</f>
        <v>-2.6956479933476385</v>
      </c>
      <c r="S19" s="20">
        <f>SUM($R$19:$R$19)</f>
        <v>-2.6956479933476385</v>
      </c>
      <c r="T19" s="20">
        <f>'TE BE'!$T$19*'TE BE'!$T$49</f>
        <v>0</v>
      </c>
      <c r="U19" s="20">
        <f>'TE BE'!$U$19*'TE BE'!$U$49</f>
        <v>0</v>
      </c>
      <c r="V19" s="20">
        <f>'TE BE'!$V$19*'TE BE'!$V$49</f>
        <v>0</v>
      </c>
      <c r="W19" s="20">
        <f>SUM($T$19:$V$19)</f>
        <v>0</v>
      </c>
      <c r="X19" s="20">
        <f>'TE BE'!$AB$19*'TE BE'!$X$49</f>
        <v>0</v>
      </c>
      <c r="Y19" s="20">
        <f>SUM($X$19:$X$19)</f>
        <v>0</v>
      </c>
      <c r="Z19" s="20">
        <f>'TE BE'!$Z$19*'TE BE'!$Z$49</f>
        <v>0</v>
      </c>
      <c r="AA19" s="20">
        <f>SUM($Z$19:$Z$19)</f>
        <v>0</v>
      </c>
      <c r="AB19" s="20">
        <f>SUMIF($L$4:$AA$4,"SUBTOTAL",$L$19:$AA$19)</f>
        <v>-2.6956479933476385</v>
      </c>
    </row>
    <row r="20" spans="1:28" ht="11.25" customHeight="1" x14ac:dyDescent="0.3">
      <c r="A20" s="99"/>
      <c r="B20" s="99"/>
      <c r="C20" s="99"/>
      <c r="D20" s="22" t="s">
        <v>32</v>
      </c>
      <c r="E20" s="22" t="s">
        <v>25</v>
      </c>
      <c r="F20" s="22" t="s">
        <v>25</v>
      </c>
      <c r="G20" s="23" t="s">
        <v>74</v>
      </c>
      <c r="H20" s="23" t="s">
        <v>70</v>
      </c>
      <c r="I20" s="23">
        <f>'MERCADO TE'!$U$17</f>
        <v>0</v>
      </c>
      <c r="J20" s="15"/>
      <c r="L20" s="20">
        <f>'TE BE'!$L$20*'TE BE'!$L$49</f>
        <v>0</v>
      </c>
      <c r="M20" s="20">
        <f>'TE BE'!$M$20*'TE BE'!$M$49</f>
        <v>0</v>
      </c>
      <c r="N20" s="20">
        <f>'TE BE'!$N$20*'TE BE'!$N$49</f>
        <v>0</v>
      </c>
      <c r="O20" s="20">
        <f>'TE BE'!$O$20*'TE BE'!$O$49</f>
        <v>0</v>
      </c>
      <c r="P20" s="20">
        <f>'TE BE'!$P$20*'TE BE'!$P$49</f>
        <v>0</v>
      </c>
      <c r="Q20" s="20">
        <f>SUM($L$20:$P$20)</f>
        <v>0</v>
      </c>
      <c r="R20" s="20">
        <f>'TE BE'!$R$20*'TE BE'!$R$49</f>
        <v>-2.6956479933476385</v>
      </c>
      <c r="S20" s="20">
        <f>SUM($R$20:$R$20)</f>
        <v>-2.6956479933476385</v>
      </c>
      <c r="T20" s="20">
        <f>'TE BE'!$T$20*'TE BE'!$T$49</f>
        <v>0</v>
      </c>
      <c r="U20" s="20">
        <f>'TE BE'!$U$20*'TE BE'!$U$49</f>
        <v>0</v>
      </c>
      <c r="V20" s="20">
        <f>'TE BE'!$V$20*'TE BE'!$V$49</f>
        <v>0</v>
      </c>
      <c r="W20" s="20">
        <f>SUM($T$20:$V$20)</f>
        <v>0</v>
      </c>
      <c r="X20" s="20">
        <f>'TE BE'!$AB$20*'TE BE'!$X$49</f>
        <v>0</v>
      </c>
      <c r="Y20" s="20">
        <f>SUM($X$20:$X$20)</f>
        <v>0</v>
      </c>
      <c r="Z20" s="20">
        <f>'TE BE'!$Z$20*'TE BE'!$Z$49</f>
        <v>0</v>
      </c>
      <c r="AA20" s="20">
        <f>SUM($Z$20:$Z$20)</f>
        <v>0</v>
      </c>
      <c r="AB20" s="20">
        <f>SUMIF($L$4:$AA$4,"SUBTOTAL",$L$20:$AA$20)</f>
        <v>-2.6956479933476385</v>
      </c>
    </row>
    <row r="21" spans="1:28" ht="11.25" customHeight="1" x14ac:dyDescent="0.3">
      <c r="A21" s="99" t="s">
        <v>43</v>
      </c>
      <c r="B21" s="99" t="s">
        <v>69</v>
      </c>
      <c r="C21" s="99" t="s">
        <v>44</v>
      </c>
      <c r="D21" s="99" t="s">
        <v>25</v>
      </c>
      <c r="E21" s="99" t="s">
        <v>25</v>
      </c>
      <c r="F21" s="99" t="s">
        <v>25</v>
      </c>
      <c r="G21" s="23" t="s">
        <v>71</v>
      </c>
      <c r="H21" s="23" t="s">
        <v>70</v>
      </c>
      <c r="I21" s="23">
        <f>'MERCADO TE'!$U$18</f>
        <v>0</v>
      </c>
      <c r="J21" s="15"/>
      <c r="L21" s="20">
        <f>'TE BE'!$L$21*'TE BE'!$L$49</f>
        <v>0</v>
      </c>
      <c r="M21" s="20">
        <f>'TE BE'!$M$21*'TE BE'!$M$49</f>
        <v>0</v>
      </c>
      <c r="N21" s="20">
        <f>'TE BE'!$N$21*'TE BE'!$N$49</f>
        <v>0</v>
      </c>
      <c r="O21" s="20">
        <f>'TE BE'!$O$21*'TE BE'!$O$49</f>
        <v>0</v>
      </c>
      <c r="P21" s="20">
        <f>'TE BE'!$P$21*'TE BE'!$P$49</f>
        <v>0</v>
      </c>
      <c r="Q21" s="20">
        <f>SUM($L$21:$P$21)</f>
        <v>0</v>
      </c>
      <c r="R21" s="20">
        <f>'TE BE'!$R$21*'TE BE'!$R$49</f>
        <v>-2.6956479933476385</v>
      </c>
      <c r="S21" s="20">
        <f>SUM($R$21:$R$21)</f>
        <v>-2.6956479933476385</v>
      </c>
      <c r="T21" s="20">
        <f>'TE BE'!$T$21*'TE BE'!$T$49</f>
        <v>0</v>
      </c>
      <c r="U21" s="20">
        <f>'TE BE'!$U$21*'TE BE'!$U$49</f>
        <v>0</v>
      </c>
      <c r="V21" s="20">
        <f>'TE BE'!$V$21*'TE BE'!$V$49</f>
        <v>0</v>
      </c>
      <c r="W21" s="20">
        <f>SUM($T$21:$V$21)</f>
        <v>0</v>
      </c>
      <c r="X21" s="20">
        <f>'TE BE'!$AB$21*'TE BE'!$X$49</f>
        <v>0</v>
      </c>
      <c r="Y21" s="20">
        <f>SUM($X$21:$X$21)</f>
        <v>0</v>
      </c>
      <c r="Z21" s="20">
        <f>'TE BE'!$Z$21*'TE BE'!$Z$49</f>
        <v>0</v>
      </c>
      <c r="AA21" s="20">
        <f>SUM($Z$21:$Z$21)</f>
        <v>0</v>
      </c>
      <c r="AB21" s="20">
        <f>SUMIF($L$4:$AA$4,"SUBTOTAL",$L$21:$AA$21)</f>
        <v>-2.6956479933476385</v>
      </c>
    </row>
    <row r="22" spans="1:28" ht="11.25" customHeight="1" x14ac:dyDescent="0.3">
      <c r="A22" s="99"/>
      <c r="B22" s="99"/>
      <c r="C22" s="99"/>
      <c r="D22" s="99"/>
      <c r="E22" s="99"/>
      <c r="F22" s="99"/>
      <c r="G22" s="23" t="s">
        <v>83</v>
      </c>
      <c r="H22" s="23" t="s">
        <v>70</v>
      </c>
      <c r="I22" s="23">
        <f>'MERCADO TE'!$U$19</f>
        <v>0</v>
      </c>
      <c r="J22" s="15"/>
      <c r="L22" s="20">
        <f>'TE BE'!$L$22*'TE BE'!$L$49</f>
        <v>0</v>
      </c>
      <c r="M22" s="20">
        <f>'TE BE'!$M$22*'TE BE'!$M$49</f>
        <v>0</v>
      </c>
      <c r="N22" s="20">
        <f>'TE BE'!$N$22*'TE BE'!$N$49</f>
        <v>0</v>
      </c>
      <c r="O22" s="20">
        <f>'TE BE'!$O$22*'TE BE'!$O$49</f>
        <v>0</v>
      </c>
      <c r="P22" s="20">
        <f>'TE BE'!$P$22*'TE BE'!$P$49</f>
        <v>0</v>
      </c>
      <c r="Q22" s="20">
        <f>SUM($L$22:$P$22)</f>
        <v>0</v>
      </c>
      <c r="R22" s="20">
        <f>'TE BE'!$R$22*'TE BE'!$R$49</f>
        <v>-2.6956479933476385</v>
      </c>
      <c r="S22" s="20">
        <f>SUM($R$22:$R$22)</f>
        <v>-2.6956479933476385</v>
      </c>
      <c r="T22" s="20">
        <f>'TE BE'!$T$22*'TE BE'!$T$49</f>
        <v>0</v>
      </c>
      <c r="U22" s="20">
        <f>'TE BE'!$U$22*'TE BE'!$U$49</f>
        <v>0</v>
      </c>
      <c r="V22" s="20">
        <f>'TE BE'!$V$22*'TE BE'!$V$49</f>
        <v>0</v>
      </c>
      <c r="W22" s="20">
        <f>SUM($T$22:$V$22)</f>
        <v>0</v>
      </c>
      <c r="X22" s="20">
        <f>'TE BE'!$AB$22*'TE BE'!$X$49</f>
        <v>0</v>
      </c>
      <c r="Y22" s="20">
        <f>SUM($X$22:$X$22)</f>
        <v>0</v>
      </c>
      <c r="Z22" s="20">
        <f>'TE BE'!$Z$22*'TE BE'!$Z$49</f>
        <v>0</v>
      </c>
      <c r="AA22" s="20">
        <f>SUM($Z$22:$Z$22)</f>
        <v>0</v>
      </c>
      <c r="AB22" s="20">
        <f>SUMIF($L$4:$AA$4,"SUBTOTAL",$L$22:$AA$22)</f>
        <v>-2.6956479933476385</v>
      </c>
    </row>
    <row r="23" spans="1:28" ht="11.25" customHeight="1" x14ac:dyDescent="0.3">
      <c r="A23" s="99"/>
      <c r="B23" s="99"/>
      <c r="C23" s="99"/>
      <c r="D23" s="99"/>
      <c r="E23" s="99"/>
      <c r="F23" s="99"/>
      <c r="G23" s="23" t="s">
        <v>72</v>
      </c>
      <c r="H23" s="23" t="s">
        <v>70</v>
      </c>
      <c r="I23" s="23">
        <f>'MERCADO TE'!$U$20</f>
        <v>0</v>
      </c>
      <c r="J23" s="15"/>
      <c r="L23" s="20">
        <f>'TE BE'!$L$23*'TE BE'!$L$49</f>
        <v>0</v>
      </c>
      <c r="M23" s="20">
        <f>'TE BE'!$M$23*'TE BE'!$M$49</f>
        <v>0</v>
      </c>
      <c r="N23" s="20">
        <f>'TE BE'!$N$23*'TE BE'!$N$49</f>
        <v>0</v>
      </c>
      <c r="O23" s="20">
        <f>'TE BE'!$O$23*'TE BE'!$O$49</f>
        <v>0</v>
      </c>
      <c r="P23" s="20">
        <f>'TE BE'!$P$23*'TE BE'!$P$49</f>
        <v>0</v>
      </c>
      <c r="Q23" s="20">
        <f>SUM($L$23:$P$23)</f>
        <v>0</v>
      </c>
      <c r="R23" s="20">
        <f>'TE BE'!$R$23*'TE BE'!$R$49</f>
        <v>-2.6956479933476385</v>
      </c>
      <c r="S23" s="20">
        <f>SUM($R$23:$R$23)</f>
        <v>-2.6956479933476385</v>
      </c>
      <c r="T23" s="20">
        <f>'TE BE'!$T$23*'TE BE'!$T$49</f>
        <v>0</v>
      </c>
      <c r="U23" s="20">
        <f>'TE BE'!$U$23*'TE BE'!$U$49</f>
        <v>0</v>
      </c>
      <c r="V23" s="20">
        <f>'TE BE'!$V$23*'TE BE'!$V$49</f>
        <v>0</v>
      </c>
      <c r="W23" s="20">
        <f>SUM($T$23:$V$23)</f>
        <v>0</v>
      </c>
      <c r="X23" s="20">
        <f>'TE BE'!$AB$23*'TE BE'!$X$49</f>
        <v>0</v>
      </c>
      <c r="Y23" s="20">
        <f>SUM($X$23:$X$23)</f>
        <v>0</v>
      </c>
      <c r="Z23" s="20">
        <f>'TE BE'!$Z$23*'TE BE'!$Z$49</f>
        <v>0</v>
      </c>
      <c r="AA23" s="20">
        <f>SUM($Z$23:$Z$23)</f>
        <v>0</v>
      </c>
      <c r="AB23" s="20">
        <f>SUMIF($L$4:$AA$4,"SUBTOTAL",$L$23:$AA$23)</f>
        <v>-2.6956479933476385</v>
      </c>
    </row>
    <row r="24" spans="1:28" ht="11.25" customHeight="1" x14ac:dyDescent="0.3">
      <c r="A24" s="99"/>
      <c r="B24" s="22" t="s">
        <v>73</v>
      </c>
      <c r="C24" s="22" t="s">
        <v>44</v>
      </c>
      <c r="D24" s="22" t="s">
        <v>25</v>
      </c>
      <c r="E24" s="22" t="s">
        <v>25</v>
      </c>
      <c r="F24" s="22" t="s">
        <v>25</v>
      </c>
      <c r="G24" s="23" t="s">
        <v>74</v>
      </c>
      <c r="H24" s="23" t="s">
        <v>70</v>
      </c>
      <c r="I24" s="23">
        <f>'MERCADO TE'!$U$21</f>
        <v>19400.674999999996</v>
      </c>
      <c r="J24" s="15"/>
      <c r="L24" s="20">
        <f>'TE BE'!$L$24*'TE BE'!$L$49</f>
        <v>0</v>
      </c>
      <c r="M24" s="20">
        <f>'TE BE'!$M$24*'TE BE'!$M$49</f>
        <v>0</v>
      </c>
      <c r="N24" s="20">
        <f>'TE BE'!$N$24*'TE BE'!$N$49</f>
        <v>0</v>
      </c>
      <c r="O24" s="20">
        <f>'TE BE'!$O$24*'TE BE'!$O$49</f>
        <v>0</v>
      </c>
      <c r="P24" s="20">
        <f>'TE BE'!$P$24*'TE BE'!$P$49</f>
        <v>0</v>
      </c>
      <c r="Q24" s="20">
        <f>SUM($L$24:$P$24)</f>
        <v>0</v>
      </c>
      <c r="R24" s="20">
        <f>'TE BE'!$R$24*'TE BE'!$R$49</f>
        <v>-2.6956479933476385</v>
      </c>
      <c r="S24" s="20">
        <f>SUM($R$24:$R$24)</f>
        <v>-2.6956479933476385</v>
      </c>
      <c r="T24" s="20">
        <f>'TE BE'!$T$24*'TE BE'!$T$49</f>
        <v>0</v>
      </c>
      <c r="U24" s="20">
        <f>'TE BE'!$U$24*'TE BE'!$U$49</f>
        <v>0</v>
      </c>
      <c r="V24" s="20">
        <f>'TE BE'!$V$24*'TE BE'!$V$49</f>
        <v>0</v>
      </c>
      <c r="W24" s="20">
        <f>SUM($T$24:$V$24)</f>
        <v>0</v>
      </c>
      <c r="X24" s="20">
        <f>'TE BE'!$AB$24*'TE BE'!$X$49</f>
        <v>0</v>
      </c>
      <c r="Y24" s="20">
        <f>SUM($X$24:$X$24)</f>
        <v>0</v>
      </c>
      <c r="Z24" s="20">
        <f>'TE BE'!$Z$24*'TE BE'!$Z$49</f>
        <v>0</v>
      </c>
      <c r="AA24" s="20">
        <f>SUM($Z$24:$Z$24)</f>
        <v>0</v>
      </c>
      <c r="AB24" s="20">
        <f>SUMIF($L$4:$AA$4,"SUBTOTAL",$L$24:$AA$24)</f>
        <v>-2.6956479933476385</v>
      </c>
    </row>
    <row r="25" spans="1:28" ht="11.25" customHeight="1" x14ac:dyDescent="0.3">
      <c r="A25" s="99"/>
      <c r="B25" s="99" t="s">
        <v>69</v>
      </c>
      <c r="C25" s="99" t="s">
        <v>44</v>
      </c>
      <c r="D25" s="99" t="s">
        <v>86</v>
      </c>
      <c r="E25" s="99" t="s">
        <v>25</v>
      </c>
      <c r="F25" s="99" t="s">
        <v>25</v>
      </c>
      <c r="G25" s="23" t="s">
        <v>71</v>
      </c>
      <c r="H25" s="23" t="s">
        <v>70</v>
      </c>
      <c r="I25" s="23">
        <f>'MERCADO TE'!$U$22</f>
        <v>0</v>
      </c>
      <c r="J25" s="15"/>
      <c r="L25" s="20">
        <f>'TE BE'!$L$25*'TE BE'!$L$49</f>
        <v>0</v>
      </c>
      <c r="M25" s="20">
        <f>'TE BE'!$M$25*'TE BE'!$M$49</f>
        <v>0</v>
      </c>
      <c r="N25" s="20">
        <f>'TE BE'!$N$25*'TE BE'!$N$49</f>
        <v>0</v>
      </c>
      <c r="O25" s="20">
        <f>'TE BE'!$O$25*'TE BE'!$O$49</f>
        <v>0</v>
      </c>
      <c r="P25" s="20">
        <f>'TE BE'!$P$25*'TE BE'!$P$49</f>
        <v>0</v>
      </c>
      <c r="Q25" s="20">
        <f>SUM($L$25:$P$25)</f>
        <v>0</v>
      </c>
      <c r="R25" s="20">
        <f>'TE BE'!$R$25*'TE BE'!$R$49</f>
        <v>-2.6956479933476385</v>
      </c>
      <c r="S25" s="20">
        <f>SUM($R$25:$R$25)</f>
        <v>-2.6956479933476385</v>
      </c>
      <c r="T25" s="20">
        <f>'TE BE'!$T$25*'TE BE'!$T$49</f>
        <v>0</v>
      </c>
      <c r="U25" s="20">
        <f>'TE BE'!$U$25*'TE BE'!$U$49</f>
        <v>0</v>
      </c>
      <c r="V25" s="20">
        <f>'TE BE'!$V$25*'TE BE'!$V$49</f>
        <v>0</v>
      </c>
      <c r="W25" s="20">
        <f>SUM($T$25:$V$25)</f>
        <v>0</v>
      </c>
      <c r="X25" s="20">
        <f>'TE BE'!$AB$25*'TE BE'!$X$49</f>
        <v>0</v>
      </c>
      <c r="Y25" s="20">
        <f>SUM($X$25:$X$25)</f>
        <v>0</v>
      </c>
      <c r="Z25" s="20">
        <f>'TE BE'!$Z$25*'TE BE'!$Z$49</f>
        <v>0</v>
      </c>
      <c r="AA25" s="20">
        <f>SUM($Z$25:$Z$25)</f>
        <v>0</v>
      </c>
      <c r="AB25" s="20">
        <f>SUMIF($L$4:$AA$4,"SUBTOTAL",$L$25:$AA$25)</f>
        <v>-2.6956479933476385</v>
      </c>
    </row>
    <row r="26" spans="1:28" ht="11.25" customHeight="1" x14ac:dyDescent="0.3">
      <c r="A26" s="99"/>
      <c r="B26" s="99"/>
      <c r="C26" s="99"/>
      <c r="D26" s="99"/>
      <c r="E26" s="99"/>
      <c r="F26" s="99"/>
      <c r="G26" s="23" t="s">
        <v>83</v>
      </c>
      <c r="H26" s="23" t="s">
        <v>70</v>
      </c>
      <c r="I26" s="23">
        <f>'MERCADO TE'!$U$23</f>
        <v>0</v>
      </c>
      <c r="J26" s="15"/>
      <c r="L26" s="20">
        <f>'TE BE'!$L$26*'TE BE'!$L$49</f>
        <v>0</v>
      </c>
      <c r="M26" s="20">
        <f>'TE BE'!$M$26*'TE BE'!$M$49</f>
        <v>0</v>
      </c>
      <c r="N26" s="20">
        <f>'TE BE'!$N$26*'TE BE'!$N$49</f>
        <v>0</v>
      </c>
      <c r="O26" s="20">
        <f>'TE BE'!$O$26*'TE BE'!$O$49</f>
        <v>0</v>
      </c>
      <c r="P26" s="20">
        <f>'TE BE'!$P$26*'TE BE'!$P$49</f>
        <v>0</v>
      </c>
      <c r="Q26" s="20">
        <f>SUM($L$26:$P$26)</f>
        <v>0</v>
      </c>
      <c r="R26" s="20">
        <f>'TE BE'!$R$26*'TE BE'!$R$49</f>
        <v>-2.6956479933476385</v>
      </c>
      <c r="S26" s="20">
        <f>SUM($R$26:$R$26)</f>
        <v>-2.6956479933476385</v>
      </c>
      <c r="T26" s="20">
        <f>'TE BE'!$T$26*'TE BE'!$T$49</f>
        <v>0</v>
      </c>
      <c r="U26" s="20">
        <f>'TE BE'!$U$26*'TE BE'!$U$49</f>
        <v>0</v>
      </c>
      <c r="V26" s="20">
        <f>'TE BE'!$V$26*'TE BE'!$V$49</f>
        <v>0</v>
      </c>
      <c r="W26" s="20">
        <f>SUM($T$26:$V$26)</f>
        <v>0</v>
      </c>
      <c r="X26" s="20">
        <f>'TE BE'!$AB$26*'TE BE'!$X$49</f>
        <v>0</v>
      </c>
      <c r="Y26" s="20">
        <f>SUM($X$26:$X$26)</f>
        <v>0</v>
      </c>
      <c r="Z26" s="20">
        <f>'TE BE'!$Z$26*'TE BE'!$Z$49</f>
        <v>0</v>
      </c>
      <c r="AA26" s="20">
        <f>SUM($Z$26:$Z$26)</f>
        <v>0</v>
      </c>
      <c r="AB26" s="20">
        <f>SUMIF($L$4:$AA$4,"SUBTOTAL",$L$26:$AA$26)</f>
        <v>-2.6956479933476385</v>
      </c>
    </row>
    <row r="27" spans="1:28" ht="11.25" customHeight="1" x14ac:dyDescent="0.3">
      <c r="A27" s="99"/>
      <c r="B27" s="99"/>
      <c r="C27" s="99"/>
      <c r="D27" s="99"/>
      <c r="E27" s="99"/>
      <c r="F27" s="99"/>
      <c r="G27" s="23" t="s">
        <v>72</v>
      </c>
      <c r="H27" s="23" t="s">
        <v>70</v>
      </c>
      <c r="I27" s="23">
        <f>'MERCADO TE'!$U$24</f>
        <v>0</v>
      </c>
      <c r="J27" s="15"/>
      <c r="L27" s="20">
        <f>'TE BE'!$L$27*'TE BE'!$L$49</f>
        <v>0</v>
      </c>
      <c r="M27" s="20">
        <f>'TE BE'!$M$27*'TE BE'!$M$49</f>
        <v>0</v>
      </c>
      <c r="N27" s="20">
        <f>'TE BE'!$N$27*'TE BE'!$N$49</f>
        <v>0</v>
      </c>
      <c r="O27" s="20">
        <f>'TE BE'!$O$27*'TE BE'!$O$49</f>
        <v>0</v>
      </c>
      <c r="P27" s="20">
        <f>'TE BE'!$P$27*'TE BE'!$P$49</f>
        <v>0</v>
      </c>
      <c r="Q27" s="20">
        <f>SUM($L$27:$P$27)</f>
        <v>0</v>
      </c>
      <c r="R27" s="20">
        <f>'TE BE'!$R$27*'TE BE'!$R$49</f>
        <v>-2.6956479933476385</v>
      </c>
      <c r="S27" s="20">
        <f>SUM($R$27:$R$27)</f>
        <v>-2.6956479933476385</v>
      </c>
      <c r="T27" s="20">
        <f>'TE BE'!$T$27*'TE BE'!$T$49</f>
        <v>0</v>
      </c>
      <c r="U27" s="20">
        <f>'TE BE'!$U$27*'TE BE'!$U$49</f>
        <v>0</v>
      </c>
      <c r="V27" s="20">
        <f>'TE BE'!$V$27*'TE BE'!$V$49</f>
        <v>0</v>
      </c>
      <c r="W27" s="20">
        <f>SUM($T$27:$V$27)</f>
        <v>0</v>
      </c>
      <c r="X27" s="20">
        <f>'TE BE'!$AB$27*'TE BE'!$X$49</f>
        <v>0</v>
      </c>
      <c r="Y27" s="20">
        <f>SUM($X$27:$X$27)</f>
        <v>0</v>
      </c>
      <c r="Z27" s="20">
        <f>'TE BE'!$Z$27*'TE BE'!$Z$49</f>
        <v>0</v>
      </c>
      <c r="AA27" s="20">
        <f>SUM($Z$27:$Z$27)</f>
        <v>0</v>
      </c>
      <c r="AB27" s="20">
        <f>SUMIF($L$4:$AA$4,"SUBTOTAL",$L$27:$AA$27)</f>
        <v>-2.6956479933476385</v>
      </c>
    </row>
    <row r="28" spans="1:28" ht="11.25" customHeight="1" x14ac:dyDescent="0.3">
      <c r="A28" s="99"/>
      <c r="B28" s="22" t="s">
        <v>73</v>
      </c>
      <c r="C28" s="22" t="s">
        <v>44</v>
      </c>
      <c r="D28" s="22" t="s">
        <v>86</v>
      </c>
      <c r="E28" s="22" t="s">
        <v>25</v>
      </c>
      <c r="F28" s="22" t="s">
        <v>25</v>
      </c>
      <c r="G28" s="23" t="s">
        <v>74</v>
      </c>
      <c r="H28" s="23" t="s">
        <v>70</v>
      </c>
      <c r="I28" s="23">
        <f>'MERCADO TE'!$U$25</f>
        <v>0</v>
      </c>
      <c r="J28" s="15"/>
      <c r="L28" s="20">
        <f>'TE BE'!$L$28*'TE BE'!$L$49</f>
        <v>0</v>
      </c>
      <c r="M28" s="20">
        <f>'TE BE'!$M$28*'TE BE'!$M$49</f>
        <v>0</v>
      </c>
      <c r="N28" s="20">
        <f>'TE BE'!$N$28*'TE BE'!$N$49</f>
        <v>0</v>
      </c>
      <c r="O28" s="20">
        <f>'TE BE'!$O$28*'TE BE'!$O$49</f>
        <v>0</v>
      </c>
      <c r="P28" s="20">
        <f>'TE BE'!$P$28*'TE BE'!$P$49</f>
        <v>0</v>
      </c>
      <c r="Q28" s="20">
        <f>SUM($L$28:$P$28)</f>
        <v>0</v>
      </c>
      <c r="R28" s="20">
        <f>'TE BE'!$R$28*'TE BE'!$R$49</f>
        <v>-2.6956479933476385</v>
      </c>
      <c r="S28" s="20">
        <f>SUM($R$28:$R$28)</f>
        <v>-2.6956479933476385</v>
      </c>
      <c r="T28" s="20">
        <f>'TE BE'!$T$28*'TE BE'!$T$49</f>
        <v>0</v>
      </c>
      <c r="U28" s="20">
        <f>'TE BE'!$U$28*'TE BE'!$U$49</f>
        <v>0</v>
      </c>
      <c r="V28" s="20">
        <f>'TE BE'!$V$28*'TE BE'!$V$49</f>
        <v>0</v>
      </c>
      <c r="W28" s="20">
        <f>SUM($T$28:$V$28)</f>
        <v>0</v>
      </c>
      <c r="X28" s="20">
        <f>'TE BE'!$AB$28*'TE BE'!$X$49</f>
        <v>0</v>
      </c>
      <c r="Y28" s="20">
        <f>SUM($X$28:$X$28)</f>
        <v>0</v>
      </c>
      <c r="Z28" s="20">
        <f>'TE BE'!$Z$28*'TE BE'!$Z$49</f>
        <v>0</v>
      </c>
      <c r="AA28" s="20">
        <f>SUM($Z$28:$Z$28)</f>
        <v>0</v>
      </c>
      <c r="AB28" s="20">
        <f>SUMIF($L$4:$AA$4,"SUBTOTAL",$L$28:$AA$28)</f>
        <v>-2.6956479933476385</v>
      </c>
    </row>
    <row r="29" spans="1:28" ht="11.25" customHeight="1" x14ac:dyDescent="0.3">
      <c r="A29" s="99"/>
      <c r="B29" s="99" t="s">
        <v>69</v>
      </c>
      <c r="C29" s="99" t="s">
        <v>44</v>
      </c>
      <c r="D29" s="99" t="s">
        <v>87</v>
      </c>
      <c r="E29" s="99" t="s">
        <v>25</v>
      </c>
      <c r="F29" s="99" t="s">
        <v>25</v>
      </c>
      <c r="G29" s="23" t="s">
        <v>71</v>
      </c>
      <c r="H29" s="23" t="s">
        <v>70</v>
      </c>
      <c r="I29" s="23">
        <f>'MERCADO TE'!$U$26</f>
        <v>0</v>
      </c>
      <c r="J29" s="15"/>
      <c r="L29" s="20">
        <f>'TE BE'!$L$29*'TE BE'!$L$49</f>
        <v>0</v>
      </c>
      <c r="M29" s="20">
        <f>'TE BE'!$M$29*'TE BE'!$M$49</f>
        <v>0</v>
      </c>
      <c r="N29" s="20">
        <f>'TE BE'!$N$29*'TE BE'!$N$49</f>
        <v>0</v>
      </c>
      <c r="O29" s="20">
        <f>'TE BE'!$O$29*'TE BE'!$O$49</f>
        <v>0</v>
      </c>
      <c r="P29" s="20">
        <f>'TE BE'!$P$29*'TE BE'!$P$49</f>
        <v>0</v>
      </c>
      <c r="Q29" s="20">
        <f>SUM($L$29:$P$29)</f>
        <v>0</v>
      </c>
      <c r="R29" s="20">
        <f>'TE BE'!$R$29*'TE BE'!$R$49</f>
        <v>-2.6956479933476385</v>
      </c>
      <c r="S29" s="20">
        <f>SUM($R$29:$R$29)</f>
        <v>-2.6956479933476385</v>
      </c>
      <c r="T29" s="20">
        <f>'TE BE'!$T$29*'TE BE'!$T$49</f>
        <v>0</v>
      </c>
      <c r="U29" s="20">
        <f>'TE BE'!$U$29*'TE BE'!$U$49</f>
        <v>0</v>
      </c>
      <c r="V29" s="20">
        <f>'TE BE'!$V$29*'TE BE'!$V$49</f>
        <v>0</v>
      </c>
      <c r="W29" s="20">
        <f>SUM($T$29:$V$29)</f>
        <v>0</v>
      </c>
      <c r="X29" s="20">
        <f>'TE BE'!$AB$29*'TE BE'!$X$49</f>
        <v>0</v>
      </c>
      <c r="Y29" s="20">
        <f>SUM($X$29:$X$29)</f>
        <v>0</v>
      </c>
      <c r="Z29" s="20">
        <f>'TE BE'!$Z$29*'TE BE'!$Z$49</f>
        <v>0</v>
      </c>
      <c r="AA29" s="20">
        <f>SUM($Z$29:$Z$29)</f>
        <v>0</v>
      </c>
      <c r="AB29" s="20">
        <f>SUMIF($L$4:$AA$4,"SUBTOTAL",$L$29:$AA$29)</f>
        <v>-2.6956479933476385</v>
      </c>
    </row>
    <row r="30" spans="1:28" ht="11.25" customHeight="1" x14ac:dyDescent="0.3">
      <c r="A30" s="99"/>
      <c r="B30" s="99"/>
      <c r="C30" s="99"/>
      <c r="D30" s="99"/>
      <c r="E30" s="99"/>
      <c r="F30" s="99"/>
      <c r="G30" s="23" t="s">
        <v>83</v>
      </c>
      <c r="H30" s="23" t="s">
        <v>70</v>
      </c>
      <c r="I30" s="23">
        <f>'MERCADO TE'!$U$27</f>
        <v>0</v>
      </c>
      <c r="J30" s="15"/>
      <c r="L30" s="20">
        <f>'TE BE'!$L$30*'TE BE'!$L$49</f>
        <v>0</v>
      </c>
      <c r="M30" s="20">
        <f>'TE BE'!$M$30*'TE BE'!$M$49</f>
        <v>0</v>
      </c>
      <c r="N30" s="20">
        <f>'TE BE'!$N$30*'TE BE'!$N$49</f>
        <v>0</v>
      </c>
      <c r="O30" s="20">
        <f>'TE BE'!$O$30*'TE BE'!$O$49</f>
        <v>0</v>
      </c>
      <c r="P30" s="20">
        <f>'TE BE'!$P$30*'TE BE'!$P$49</f>
        <v>0</v>
      </c>
      <c r="Q30" s="20">
        <f>SUM($L$30:$P$30)</f>
        <v>0</v>
      </c>
      <c r="R30" s="20">
        <f>'TE BE'!$R$30*'TE BE'!$R$49</f>
        <v>-2.6956479933476385</v>
      </c>
      <c r="S30" s="20">
        <f>SUM($R$30:$R$30)</f>
        <v>-2.6956479933476385</v>
      </c>
      <c r="T30" s="20">
        <f>'TE BE'!$T$30*'TE BE'!$T$49</f>
        <v>0</v>
      </c>
      <c r="U30" s="20">
        <f>'TE BE'!$U$30*'TE BE'!$U$49</f>
        <v>0</v>
      </c>
      <c r="V30" s="20">
        <f>'TE BE'!$V$30*'TE BE'!$V$49</f>
        <v>0</v>
      </c>
      <c r="W30" s="20">
        <f>SUM($T$30:$V$30)</f>
        <v>0</v>
      </c>
      <c r="X30" s="20">
        <f>'TE BE'!$AB$30*'TE BE'!$X$49</f>
        <v>0</v>
      </c>
      <c r="Y30" s="20">
        <f>SUM($X$30:$X$30)</f>
        <v>0</v>
      </c>
      <c r="Z30" s="20">
        <f>'TE BE'!$Z$30*'TE BE'!$Z$49</f>
        <v>0</v>
      </c>
      <c r="AA30" s="20">
        <f>SUM($Z$30:$Z$30)</f>
        <v>0</v>
      </c>
      <c r="AB30" s="20">
        <f>SUMIF($L$4:$AA$4,"SUBTOTAL",$L$30:$AA$30)</f>
        <v>-2.6956479933476385</v>
      </c>
    </row>
    <row r="31" spans="1:28" ht="11.25" customHeight="1" x14ac:dyDescent="0.3">
      <c r="A31" s="99"/>
      <c r="B31" s="99"/>
      <c r="C31" s="99"/>
      <c r="D31" s="99"/>
      <c r="E31" s="99"/>
      <c r="F31" s="99"/>
      <c r="G31" s="23" t="s">
        <v>72</v>
      </c>
      <c r="H31" s="23" t="s">
        <v>70</v>
      </c>
      <c r="I31" s="23">
        <f>'MERCADO TE'!$U$28</f>
        <v>0</v>
      </c>
      <c r="J31" s="15"/>
      <c r="L31" s="20">
        <f>'TE BE'!$L$31*'TE BE'!$L$49</f>
        <v>0</v>
      </c>
      <c r="M31" s="20">
        <f>'TE BE'!$M$31*'TE BE'!$M$49</f>
        <v>0</v>
      </c>
      <c r="N31" s="20">
        <f>'TE BE'!$N$31*'TE BE'!$N$49</f>
        <v>0</v>
      </c>
      <c r="O31" s="20">
        <f>'TE BE'!$O$31*'TE BE'!$O$49</f>
        <v>0</v>
      </c>
      <c r="P31" s="20">
        <f>'TE BE'!$P$31*'TE BE'!$P$49</f>
        <v>0</v>
      </c>
      <c r="Q31" s="20">
        <f>SUM($L$31:$P$31)</f>
        <v>0</v>
      </c>
      <c r="R31" s="20">
        <f>'TE BE'!$R$31*'TE BE'!$R$49</f>
        <v>-2.6956479933476385</v>
      </c>
      <c r="S31" s="20">
        <f>SUM($R$31:$R$31)</f>
        <v>-2.6956479933476385</v>
      </c>
      <c r="T31" s="20">
        <f>'TE BE'!$T$31*'TE BE'!$T$49</f>
        <v>0</v>
      </c>
      <c r="U31" s="20">
        <f>'TE BE'!$U$31*'TE BE'!$U$49</f>
        <v>0</v>
      </c>
      <c r="V31" s="20">
        <f>'TE BE'!$V$31*'TE BE'!$V$49</f>
        <v>0</v>
      </c>
      <c r="W31" s="20">
        <f>SUM($T$31:$V$31)</f>
        <v>0</v>
      </c>
      <c r="X31" s="20">
        <f>'TE BE'!$AB$31*'TE BE'!$X$49</f>
        <v>0</v>
      </c>
      <c r="Y31" s="20">
        <f>SUM($X$31:$X$31)</f>
        <v>0</v>
      </c>
      <c r="Z31" s="20">
        <f>'TE BE'!$Z$31*'TE BE'!$Z$49</f>
        <v>0</v>
      </c>
      <c r="AA31" s="20">
        <f>SUM($Z$31:$Z$31)</f>
        <v>0</v>
      </c>
      <c r="AB31" s="20">
        <f>SUMIF($L$4:$AA$4,"SUBTOTAL",$L$31:$AA$31)</f>
        <v>-2.6956479933476385</v>
      </c>
    </row>
    <row r="32" spans="1:28" ht="11.25" customHeight="1" x14ac:dyDescent="0.3">
      <c r="A32" s="99"/>
      <c r="B32" s="22" t="s">
        <v>73</v>
      </c>
      <c r="C32" s="22" t="s">
        <v>44</v>
      </c>
      <c r="D32" s="22" t="s">
        <v>87</v>
      </c>
      <c r="E32" s="22" t="s">
        <v>25</v>
      </c>
      <c r="F32" s="22" t="s">
        <v>25</v>
      </c>
      <c r="G32" s="23" t="s">
        <v>74</v>
      </c>
      <c r="H32" s="23" t="s">
        <v>70</v>
      </c>
      <c r="I32" s="23">
        <f>'MERCADO TE'!$U$29</f>
        <v>0</v>
      </c>
      <c r="J32" s="15"/>
      <c r="L32" s="20">
        <f>'TE BE'!$L$32*'TE BE'!$L$49</f>
        <v>0</v>
      </c>
      <c r="M32" s="20">
        <f>'TE BE'!$M$32*'TE BE'!$M$49</f>
        <v>0</v>
      </c>
      <c r="N32" s="20">
        <f>'TE BE'!$N$32*'TE BE'!$N$49</f>
        <v>0</v>
      </c>
      <c r="O32" s="20">
        <f>'TE BE'!$O$32*'TE BE'!$O$49</f>
        <v>0</v>
      </c>
      <c r="P32" s="20">
        <f>'TE BE'!$P$32*'TE BE'!$P$49</f>
        <v>0</v>
      </c>
      <c r="Q32" s="20">
        <f>SUM($L$32:$P$32)</f>
        <v>0</v>
      </c>
      <c r="R32" s="20">
        <f>'TE BE'!$R$32*'TE BE'!$R$49</f>
        <v>-2.6956479933476385</v>
      </c>
      <c r="S32" s="20">
        <f>SUM($R$32:$R$32)</f>
        <v>-2.6956479933476385</v>
      </c>
      <c r="T32" s="20">
        <f>'TE BE'!$T$32*'TE BE'!$T$49</f>
        <v>0</v>
      </c>
      <c r="U32" s="20">
        <f>'TE BE'!$U$32*'TE BE'!$U$49</f>
        <v>0</v>
      </c>
      <c r="V32" s="20">
        <f>'TE BE'!$V$32*'TE BE'!$V$49</f>
        <v>0</v>
      </c>
      <c r="W32" s="20">
        <f>SUM($T$32:$V$32)</f>
        <v>0</v>
      </c>
      <c r="X32" s="20">
        <f>'TE BE'!$AB$32*'TE BE'!$X$49</f>
        <v>0</v>
      </c>
      <c r="Y32" s="20">
        <f>SUM($X$32:$X$32)</f>
        <v>0</v>
      </c>
      <c r="Z32" s="20">
        <f>'TE BE'!$Z$32*'TE BE'!$Z$49</f>
        <v>0</v>
      </c>
      <c r="AA32" s="20">
        <f>SUM($Z$32:$Z$32)</f>
        <v>0</v>
      </c>
      <c r="AB32" s="20">
        <f>SUMIF($L$4:$AA$4,"SUBTOTAL",$L$32:$AA$32)</f>
        <v>-2.6956479933476385</v>
      </c>
    </row>
    <row r="33" spans="1:28" ht="11.25" customHeight="1" x14ac:dyDescent="0.3">
      <c r="A33" s="99"/>
      <c r="B33" s="99" t="s">
        <v>84</v>
      </c>
      <c r="C33" s="99" t="s">
        <v>44</v>
      </c>
      <c r="D33" s="22" t="s">
        <v>25</v>
      </c>
      <c r="E33" s="22" t="s">
        <v>25</v>
      </c>
      <c r="F33" s="22" t="s">
        <v>25</v>
      </c>
      <c r="G33" s="23" t="s">
        <v>74</v>
      </c>
      <c r="H33" s="23" t="s">
        <v>70</v>
      </c>
      <c r="I33" s="23">
        <f>'MERCADO TE'!$U$30</f>
        <v>0</v>
      </c>
      <c r="J33" s="15"/>
      <c r="L33" s="20">
        <f>'TE BE'!$L$33*'TE BE'!$L$49</f>
        <v>0</v>
      </c>
      <c r="M33" s="20">
        <f>'TE BE'!$M$33*'TE BE'!$M$49</f>
        <v>0</v>
      </c>
      <c r="N33" s="20">
        <f>'TE BE'!$N$33*'TE BE'!$N$49</f>
        <v>0</v>
      </c>
      <c r="O33" s="20">
        <f>'TE BE'!$O$33*'TE BE'!$O$49</f>
        <v>0</v>
      </c>
      <c r="P33" s="20">
        <f>'TE BE'!$P$33*'TE BE'!$P$49</f>
        <v>0</v>
      </c>
      <c r="Q33" s="20">
        <f>SUM($L$33:$P$33)</f>
        <v>0</v>
      </c>
      <c r="R33" s="20">
        <f>'TE BE'!$R$33*'TE BE'!$R$49</f>
        <v>-2.6956479933476385</v>
      </c>
      <c r="S33" s="20">
        <f>SUM($R$33:$R$33)</f>
        <v>-2.6956479933476385</v>
      </c>
      <c r="T33" s="20">
        <f>'TE BE'!$T$33*'TE BE'!$T$49</f>
        <v>0</v>
      </c>
      <c r="U33" s="20">
        <f>'TE BE'!$U$33*'TE BE'!$U$49</f>
        <v>0</v>
      </c>
      <c r="V33" s="20">
        <f>'TE BE'!$V$33*'TE BE'!$V$49</f>
        <v>0</v>
      </c>
      <c r="W33" s="20">
        <f>SUM($T$33:$V$33)</f>
        <v>0</v>
      </c>
      <c r="X33" s="20">
        <f>'TE BE'!$AB$33*'TE BE'!$X$49</f>
        <v>0</v>
      </c>
      <c r="Y33" s="20">
        <f>SUM($X$33:$X$33)</f>
        <v>0</v>
      </c>
      <c r="Z33" s="20">
        <f>'TE BE'!$Z$33*'TE BE'!$Z$49</f>
        <v>0</v>
      </c>
      <c r="AA33" s="20">
        <f>SUM($Z$33:$Z$33)</f>
        <v>0</v>
      </c>
      <c r="AB33" s="20">
        <f>SUMIF($L$4:$AA$4,"SUBTOTAL",$L$33:$AA$33)</f>
        <v>-2.6956479933476385</v>
      </c>
    </row>
    <row r="34" spans="1:28" ht="11.25" customHeight="1" x14ac:dyDescent="0.3">
      <c r="A34" s="99"/>
      <c r="B34" s="99"/>
      <c r="C34" s="99"/>
      <c r="D34" s="22" t="s">
        <v>86</v>
      </c>
      <c r="E34" s="22" t="s">
        <v>25</v>
      </c>
      <c r="F34" s="22" t="s">
        <v>25</v>
      </c>
      <c r="G34" s="23" t="s">
        <v>74</v>
      </c>
      <c r="H34" s="23" t="s">
        <v>70</v>
      </c>
      <c r="I34" s="23">
        <f>'MERCADO TE'!$U$31</f>
        <v>0</v>
      </c>
      <c r="J34" s="15"/>
      <c r="L34" s="20">
        <f>'TE BE'!$L$34*'TE BE'!$L$49</f>
        <v>0</v>
      </c>
      <c r="M34" s="20">
        <f>'TE BE'!$M$34*'TE BE'!$M$49</f>
        <v>0</v>
      </c>
      <c r="N34" s="20">
        <f>'TE BE'!$N$34*'TE BE'!$N$49</f>
        <v>0</v>
      </c>
      <c r="O34" s="20">
        <f>'TE BE'!$O$34*'TE BE'!$O$49</f>
        <v>0</v>
      </c>
      <c r="P34" s="20">
        <f>'TE BE'!$P$34*'TE BE'!$P$49</f>
        <v>0</v>
      </c>
      <c r="Q34" s="20">
        <f>SUM($L$34:$P$34)</f>
        <v>0</v>
      </c>
      <c r="R34" s="20">
        <f>'TE BE'!$R$34*'TE BE'!$R$49</f>
        <v>-2.6956479933476385</v>
      </c>
      <c r="S34" s="20">
        <f>SUM($R$34:$R$34)</f>
        <v>-2.6956479933476385</v>
      </c>
      <c r="T34" s="20">
        <f>'TE BE'!$T$34*'TE BE'!$T$49</f>
        <v>0</v>
      </c>
      <c r="U34" s="20">
        <f>'TE BE'!$U$34*'TE BE'!$U$49</f>
        <v>0</v>
      </c>
      <c r="V34" s="20">
        <f>'TE BE'!$V$34*'TE BE'!$V$49</f>
        <v>0</v>
      </c>
      <c r="W34" s="20">
        <f>SUM($T$34:$V$34)</f>
        <v>0</v>
      </c>
      <c r="X34" s="20">
        <f>'TE BE'!$AB$34*'TE BE'!$X$49</f>
        <v>0</v>
      </c>
      <c r="Y34" s="20">
        <f>SUM($X$34:$X$34)</f>
        <v>0</v>
      </c>
      <c r="Z34" s="20">
        <f>'TE BE'!$Z$34*'TE BE'!$Z$49</f>
        <v>0</v>
      </c>
      <c r="AA34" s="20">
        <f>SUM($Z$34:$Z$34)</f>
        <v>0</v>
      </c>
      <c r="AB34" s="20">
        <f>SUMIF($L$4:$AA$4,"SUBTOTAL",$L$34:$AA$34)</f>
        <v>-2.6956479933476385</v>
      </c>
    </row>
    <row r="35" spans="1:28" ht="11.25" customHeight="1" x14ac:dyDescent="0.3">
      <c r="A35" s="99"/>
      <c r="B35" s="99"/>
      <c r="C35" s="99"/>
      <c r="D35" s="22" t="s">
        <v>87</v>
      </c>
      <c r="E35" s="22" t="s">
        <v>25</v>
      </c>
      <c r="F35" s="22" t="s">
        <v>25</v>
      </c>
      <c r="G35" s="23" t="s">
        <v>74</v>
      </c>
      <c r="H35" s="23" t="s">
        <v>70</v>
      </c>
      <c r="I35" s="23">
        <f>'MERCADO TE'!$U$32</f>
        <v>0</v>
      </c>
      <c r="J35" s="15"/>
      <c r="L35" s="20">
        <f>'TE BE'!$L$35*'TE BE'!$L$49</f>
        <v>0</v>
      </c>
      <c r="M35" s="20">
        <f>'TE BE'!$M$35*'TE BE'!$M$49</f>
        <v>0</v>
      </c>
      <c r="N35" s="20">
        <f>'TE BE'!$N$35*'TE BE'!$N$49</f>
        <v>0</v>
      </c>
      <c r="O35" s="20">
        <f>'TE BE'!$O$35*'TE BE'!$O$49</f>
        <v>0</v>
      </c>
      <c r="P35" s="20">
        <f>'TE BE'!$P$35*'TE BE'!$P$49</f>
        <v>0</v>
      </c>
      <c r="Q35" s="20">
        <f>SUM($L$35:$P$35)</f>
        <v>0</v>
      </c>
      <c r="R35" s="20">
        <f>'TE BE'!$R$35*'TE BE'!$R$49</f>
        <v>-2.6956479933476385</v>
      </c>
      <c r="S35" s="20">
        <f>SUM($R$35:$R$35)</f>
        <v>-2.6956479933476385</v>
      </c>
      <c r="T35" s="20">
        <f>'TE BE'!$T$35*'TE BE'!$T$49</f>
        <v>0</v>
      </c>
      <c r="U35" s="20">
        <f>'TE BE'!$U$35*'TE BE'!$U$49</f>
        <v>0</v>
      </c>
      <c r="V35" s="20">
        <f>'TE BE'!$V$35*'TE BE'!$V$49</f>
        <v>0</v>
      </c>
      <c r="W35" s="20">
        <f>SUM($T$35:$V$35)</f>
        <v>0</v>
      </c>
      <c r="X35" s="20">
        <f>'TE BE'!$AB$35*'TE BE'!$X$49</f>
        <v>0</v>
      </c>
      <c r="Y35" s="20">
        <f>SUM($X$35:$X$35)</f>
        <v>0</v>
      </c>
      <c r="Z35" s="20">
        <f>'TE BE'!$Z$35*'TE BE'!$Z$49</f>
        <v>0</v>
      </c>
      <c r="AA35" s="20">
        <f>SUM($Z$35:$Z$35)</f>
        <v>0</v>
      </c>
      <c r="AB35" s="20">
        <f>SUMIF($L$4:$AA$4,"SUBTOTAL",$L$35:$AA$35)</f>
        <v>-2.6956479933476385</v>
      </c>
    </row>
    <row r="36" spans="1:28" ht="11.25" customHeight="1" x14ac:dyDescent="0.3">
      <c r="A36" s="99" t="s">
        <v>35</v>
      </c>
      <c r="B36" s="99" t="s">
        <v>69</v>
      </c>
      <c r="C36" s="99" t="s">
        <v>25</v>
      </c>
      <c r="D36" s="99" t="s">
        <v>25</v>
      </c>
      <c r="E36" s="99" t="s">
        <v>25</v>
      </c>
      <c r="F36" s="99" t="s">
        <v>25</v>
      </c>
      <c r="G36" s="23" t="s">
        <v>71</v>
      </c>
      <c r="H36" s="23" t="s">
        <v>70</v>
      </c>
      <c r="I36" s="23">
        <f>'MERCADO TE'!$U$33</f>
        <v>0.746</v>
      </c>
      <c r="J36" s="15"/>
      <c r="L36" s="20">
        <f>'TE BE'!$L$36*'TE BE'!$L$49</f>
        <v>0</v>
      </c>
      <c r="M36" s="20">
        <f>'TE BE'!$M$36*'TE BE'!$M$49</f>
        <v>0</v>
      </c>
      <c r="N36" s="20">
        <f>'TE BE'!$N$36*'TE BE'!$N$49</f>
        <v>0</v>
      </c>
      <c r="O36" s="20">
        <f>'TE BE'!$O$36*'TE BE'!$O$49</f>
        <v>0</v>
      </c>
      <c r="P36" s="20">
        <f>'TE BE'!$P$36*'TE BE'!$P$49</f>
        <v>0</v>
      </c>
      <c r="Q36" s="20">
        <f>SUM($L$36:$P$36)</f>
        <v>0</v>
      </c>
      <c r="R36" s="20">
        <f>'TE BE'!$R$36*'TE BE'!$R$49</f>
        <v>-2.6956479933476385</v>
      </c>
      <c r="S36" s="20">
        <f>SUM($R$36:$R$36)</f>
        <v>-2.6956479933476385</v>
      </c>
      <c r="T36" s="20">
        <f>'TE BE'!$T$36*'TE BE'!$T$49</f>
        <v>0</v>
      </c>
      <c r="U36" s="20">
        <f>'TE BE'!$U$36*'TE BE'!$U$49</f>
        <v>0</v>
      </c>
      <c r="V36" s="20">
        <f>'TE BE'!$V$36*'TE BE'!$V$49</f>
        <v>0</v>
      </c>
      <c r="W36" s="20">
        <f>SUM($T$36:$V$36)</f>
        <v>0</v>
      </c>
      <c r="X36" s="20">
        <f>'TE BE'!$AB$36*'TE BE'!$X$49</f>
        <v>0</v>
      </c>
      <c r="Y36" s="20">
        <f>SUM($X$36:$X$36)</f>
        <v>0</v>
      </c>
      <c r="Z36" s="20">
        <f>'TE BE'!$Z$36*'TE BE'!$Z$49</f>
        <v>0</v>
      </c>
      <c r="AA36" s="20">
        <f>SUM($Z$36:$Z$36)</f>
        <v>0</v>
      </c>
      <c r="AB36" s="20">
        <f>SUMIF($L$4:$AA$4,"SUBTOTAL",$L$36:$AA$36)</f>
        <v>-2.6956479933476385</v>
      </c>
    </row>
    <row r="37" spans="1:28" ht="11.25" customHeight="1" x14ac:dyDescent="0.3">
      <c r="A37" s="99"/>
      <c r="B37" s="99"/>
      <c r="C37" s="99"/>
      <c r="D37" s="99"/>
      <c r="E37" s="99"/>
      <c r="F37" s="99"/>
      <c r="G37" s="23" t="s">
        <v>83</v>
      </c>
      <c r="H37" s="23" t="s">
        <v>70</v>
      </c>
      <c r="I37" s="23">
        <f>'MERCADO TE'!$U$34</f>
        <v>0.45699999999999996</v>
      </c>
      <c r="J37" s="15"/>
      <c r="L37" s="20">
        <f>'TE BE'!$L$37*'TE BE'!$L$49</f>
        <v>0</v>
      </c>
      <c r="M37" s="20">
        <f>'TE BE'!$M$37*'TE BE'!$M$49</f>
        <v>0</v>
      </c>
      <c r="N37" s="20">
        <f>'TE BE'!$N$37*'TE BE'!$N$49</f>
        <v>0</v>
      </c>
      <c r="O37" s="20">
        <f>'TE BE'!$O$37*'TE BE'!$O$49</f>
        <v>0</v>
      </c>
      <c r="P37" s="20">
        <f>'TE BE'!$P$37*'TE BE'!$P$49</f>
        <v>0</v>
      </c>
      <c r="Q37" s="20">
        <f>SUM($L$37:$P$37)</f>
        <v>0</v>
      </c>
      <c r="R37" s="20">
        <f>'TE BE'!$R$37*'TE BE'!$R$49</f>
        <v>-2.6956479933476385</v>
      </c>
      <c r="S37" s="20">
        <f>SUM($R$37:$R$37)</f>
        <v>-2.6956479933476385</v>
      </c>
      <c r="T37" s="20">
        <f>'TE BE'!$T$37*'TE BE'!$T$49</f>
        <v>0</v>
      </c>
      <c r="U37" s="20">
        <f>'TE BE'!$U$37*'TE BE'!$U$49</f>
        <v>0</v>
      </c>
      <c r="V37" s="20">
        <f>'TE BE'!$V$37*'TE BE'!$V$49</f>
        <v>0</v>
      </c>
      <c r="W37" s="20">
        <f>SUM($T$37:$V$37)</f>
        <v>0</v>
      </c>
      <c r="X37" s="20">
        <f>'TE BE'!$AB$37*'TE BE'!$X$49</f>
        <v>0</v>
      </c>
      <c r="Y37" s="20">
        <f>SUM($X$37:$X$37)</f>
        <v>0</v>
      </c>
      <c r="Z37" s="20">
        <f>'TE BE'!$Z$37*'TE BE'!$Z$49</f>
        <v>0</v>
      </c>
      <c r="AA37" s="20">
        <f>SUM($Z$37:$Z$37)</f>
        <v>0</v>
      </c>
      <c r="AB37" s="20">
        <f>SUMIF($L$4:$AA$4,"SUBTOTAL",$L$37:$AA$37)</f>
        <v>-2.6956479933476385</v>
      </c>
    </row>
    <row r="38" spans="1:28" ht="11.25" customHeight="1" x14ac:dyDescent="0.3">
      <c r="A38" s="99"/>
      <c r="B38" s="99"/>
      <c r="C38" s="99"/>
      <c r="D38" s="99"/>
      <c r="E38" s="99"/>
      <c r="F38" s="99"/>
      <c r="G38" s="23" t="s">
        <v>72</v>
      </c>
      <c r="H38" s="23" t="s">
        <v>70</v>
      </c>
      <c r="I38" s="23">
        <f>'MERCADO TE'!$U$35</f>
        <v>6.4780000000000006</v>
      </c>
      <c r="J38" s="15"/>
      <c r="L38" s="20">
        <f>'TE BE'!$L$38*'TE BE'!$L$49</f>
        <v>0</v>
      </c>
      <c r="M38" s="20">
        <f>'TE BE'!$M$38*'TE BE'!$M$49</f>
        <v>0</v>
      </c>
      <c r="N38" s="20">
        <f>'TE BE'!$N$38*'TE BE'!$N$49</f>
        <v>0</v>
      </c>
      <c r="O38" s="20">
        <f>'TE BE'!$O$38*'TE BE'!$O$49</f>
        <v>0</v>
      </c>
      <c r="P38" s="20">
        <f>'TE BE'!$P$38*'TE BE'!$P$49</f>
        <v>0</v>
      </c>
      <c r="Q38" s="20">
        <f>SUM($L$38:$P$38)</f>
        <v>0</v>
      </c>
      <c r="R38" s="20">
        <f>'TE BE'!$R$38*'TE BE'!$R$49</f>
        <v>-2.6956479933476385</v>
      </c>
      <c r="S38" s="20">
        <f>SUM($R$38:$R$38)</f>
        <v>-2.6956479933476385</v>
      </c>
      <c r="T38" s="20">
        <f>'TE BE'!$T$38*'TE BE'!$T$49</f>
        <v>0</v>
      </c>
      <c r="U38" s="20">
        <f>'TE BE'!$U$38*'TE BE'!$U$49</f>
        <v>0</v>
      </c>
      <c r="V38" s="20">
        <f>'TE BE'!$V$38*'TE BE'!$V$49</f>
        <v>0</v>
      </c>
      <c r="W38" s="20">
        <f>SUM($T$38:$V$38)</f>
        <v>0</v>
      </c>
      <c r="X38" s="20">
        <f>'TE BE'!$AB$38*'TE BE'!$X$49</f>
        <v>0</v>
      </c>
      <c r="Y38" s="20">
        <f>SUM($X$38:$X$38)</f>
        <v>0</v>
      </c>
      <c r="Z38" s="20">
        <f>'TE BE'!$Z$38*'TE BE'!$Z$49</f>
        <v>0</v>
      </c>
      <c r="AA38" s="20">
        <f>SUM($Z$38:$Z$38)</f>
        <v>0</v>
      </c>
      <c r="AB38" s="20">
        <f>SUMIF($L$4:$AA$4,"SUBTOTAL",$L$38:$AA$38)</f>
        <v>-2.6956479933476385</v>
      </c>
    </row>
    <row r="39" spans="1:28" ht="11.25" customHeight="1" x14ac:dyDescent="0.3">
      <c r="A39" s="99"/>
      <c r="B39" s="22" t="s">
        <v>73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74</v>
      </c>
      <c r="H39" s="23" t="s">
        <v>70</v>
      </c>
      <c r="I39" s="23">
        <f>'MERCADO TE'!$U$36</f>
        <v>2717.4190000000003</v>
      </c>
      <c r="J39" s="15"/>
      <c r="L39" s="20">
        <f>'TE BE'!$L$39*'TE BE'!$L$49</f>
        <v>0</v>
      </c>
      <c r="M39" s="20">
        <f>'TE BE'!$M$39*'TE BE'!$M$49</f>
        <v>0</v>
      </c>
      <c r="N39" s="20">
        <f>'TE BE'!$N$39*'TE BE'!$N$49</f>
        <v>0</v>
      </c>
      <c r="O39" s="20">
        <f>'TE BE'!$O$39*'TE BE'!$O$49</f>
        <v>0</v>
      </c>
      <c r="P39" s="20">
        <f>'TE BE'!$P$39*'TE BE'!$P$49</f>
        <v>0</v>
      </c>
      <c r="Q39" s="20">
        <f>SUM($L$39:$P$39)</f>
        <v>0</v>
      </c>
      <c r="R39" s="20">
        <f>'TE BE'!$R$39*'TE BE'!$R$49</f>
        <v>-2.6956479933476385</v>
      </c>
      <c r="S39" s="20">
        <f>SUM($R$39:$R$39)</f>
        <v>-2.6956479933476385</v>
      </c>
      <c r="T39" s="20">
        <f>'TE BE'!$T$39*'TE BE'!$T$49</f>
        <v>0</v>
      </c>
      <c r="U39" s="20">
        <f>'TE BE'!$U$39*'TE BE'!$U$49</f>
        <v>0</v>
      </c>
      <c r="V39" s="20">
        <f>'TE BE'!$V$39*'TE BE'!$V$49</f>
        <v>0</v>
      </c>
      <c r="W39" s="20">
        <f>SUM($T$39:$V$39)</f>
        <v>0</v>
      </c>
      <c r="X39" s="20">
        <f>'TE BE'!$AB$39*'TE BE'!$X$49</f>
        <v>0</v>
      </c>
      <c r="Y39" s="20">
        <f>SUM($X$39:$X$39)</f>
        <v>0</v>
      </c>
      <c r="Z39" s="20">
        <f>'TE BE'!$Z$39*'TE BE'!$Z$49</f>
        <v>0</v>
      </c>
      <c r="AA39" s="20">
        <f>SUM($Z$39:$Z$39)</f>
        <v>0</v>
      </c>
      <c r="AB39" s="20">
        <f>SUMIF($L$4:$AA$4,"SUBTOTAL",$L$39:$AA$39)</f>
        <v>-2.6956479933476385</v>
      </c>
    </row>
    <row r="40" spans="1:28" ht="11.25" customHeight="1" x14ac:dyDescent="0.3">
      <c r="A40" s="99"/>
      <c r="B40" s="22" t="s">
        <v>84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74</v>
      </c>
      <c r="H40" s="23" t="s">
        <v>70</v>
      </c>
      <c r="I40" s="23">
        <f>'MERCADO TE'!$U$37</f>
        <v>0</v>
      </c>
      <c r="J40" s="15"/>
      <c r="L40" s="20">
        <f>'TE BE'!$L$40*'TE BE'!$L$49</f>
        <v>0</v>
      </c>
      <c r="M40" s="20">
        <f>'TE BE'!$M$40*'TE BE'!$M$49</f>
        <v>0</v>
      </c>
      <c r="N40" s="20">
        <f>'TE BE'!$N$40*'TE BE'!$N$49</f>
        <v>0</v>
      </c>
      <c r="O40" s="20">
        <f>'TE BE'!$O$40*'TE BE'!$O$49</f>
        <v>0</v>
      </c>
      <c r="P40" s="20">
        <f>'TE BE'!$P$40*'TE BE'!$P$49</f>
        <v>0</v>
      </c>
      <c r="Q40" s="20">
        <f>SUM($L$40:$P$40)</f>
        <v>0</v>
      </c>
      <c r="R40" s="20">
        <f>'TE BE'!$R$40*'TE BE'!$R$49</f>
        <v>-2.6956479933476385</v>
      </c>
      <c r="S40" s="20">
        <f>SUM($R$40:$R$40)</f>
        <v>-2.6956479933476385</v>
      </c>
      <c r="T40" s="20">
        <f>'TE BE'!$T$40*'TE BE'!$T$49</f>
        <v>0</v>
      </c>
      <c r="U40" s="20">
        <f>'TE BE'!$U$40*'TE BE'!$U$49</f>
        <v>0</v>
      </c>
      <c r="V40" s="20">
        <f>'TE BE'!$V$40*'TE BE'!$V$49</f>
        <v>0</v>
      </c>
      <c r="W40" s="20">
        <f>SUM($T$40:$V$40)</f>
        <v>0</v>
      </c>
      <c r="X40" s="20">
        <f>'TE BE'!$AB$40*'TE BE'!$X$49</f>
        <v>0</v>
      </c>
      <c r="Y40" s="20">
        <f>SUM($X$40:$X$40)</f>
        <v>0</v>
      </c>
      <c r="Z40" s="20">
        <f>'TE BE'!$Z$40*'TE BE'!$Z$49</f>
        <v>0</v>
      </c>
      <c r="AA40" s="20">
        <f>SUM($Z$40:$Z$40)</f>
        <v>0</v>
      </c>
      <c r="AB40" s="20">
        <f>SUMIF($L$4:$AA$4,"SUBTOTAL",$L$40:$AA$40)</f>
        <v>-2.6956479933476385</v>
      </c>
    </row>
    <row r="41" spans="1:28" ht="11.25" customHeight="1" x14ac:dyDescent="0.3">
      <c r="A41" s="99" t="s">
        <v>46</v>
      </c>
      <c r="B41" s="99" t="s">
        <v>73</v>
      </c>
      <c r="C41" s="99" t="s">
        <v>47</v>
      </c>
      <c r="D41" s="22" t="s">
        <v>48</v>
      </c>
      <c r="E41" s="22" t="s">
        <v>25</v>
      </c>
      <c r="F41" s="22" t="s">
        <v>25</v>
      </c>
      <c r="G41" s="23" t="s">
        <v>74</v>
      </c>
      <c r="H41" s="23" t="s">
        <v>70</v>
      </c>
      <c r="I41" s="23">
        <f>'MERCADO TE'!$U$38</f>
        <v>2495.3550000000005</v>
      </c>
      <c r="J41" s="15"/>
      <c r="L41" s="20">
        <f>'TE BE'!$L$41*'TE BE'!$L$49</f>
        <v>0</v>
      </c>
      <c r="M41" s="20">
        <f>'TE BE'!$M$41*'TE BE'!$M$49</f>
        <v>0</v>
      </c>
      <c r="N41" s="20">
        <f>'TE BE'!$N$41*'TE BE'!$N$49</f>
        <v>0</v>
      </c>
      <c r="O41" s="20">
        <f>'TE BE'!$O$41*'TE BE'!$O$49</f>
        <v>0</v>
      </c>
      <c r="P41" s="20">
        <f>'TE BE'!$P$41*'TE BE'!$P$49</f>
        <v>0</v>
      </c>
      <c r="Q41" s="20">
        <f>SUM($L$41:$P$41)</f>
        <v>0</v>
      </c>
      <c r="R41" s="20">
        <f>'TE BE'!$R$41*'TE BE'!$R$49</f>
        <v>-1.4826063963412011</v>
      </c>
      <c r="S41" s="20">
        <f>SUM($R$41:$R$41)</f>
        <v>-1.4826063963412011</v>
      </c>
      <c r="T41" s="20">
        <f>'TE BE'!$T$41*'TE BE'!$T$49</f>
        <v>0</v>
      </c>
      <c r="U41" s="20">
        <f>'TE BE'!$U$41*'TE BE'!$U$49</f>
        <v>0</v>
      </c>
      <c r="V41" s="20">
        <f>'TE BE'!$V$41*'TE BE'!$V$49</f>
        <v>0</v>
      </c>
      <c r="W41" s="20">
        <f>SUM($T$41:$V$41)</f>
        <v>0</v>
      </c>
      <c r="X41" s="20">
        <f>'TE BE'!$AB$41*'TE BE'!$X$49</f>
        <v>0</v>
      </c>
      <c r="Y41" s="20">
        <f>SUM($X$41:$X$41)</f>
        <v>0</v>
      </c>
      <c r="Z41" s="20">
        <f>'TE BE'!$Z$41*'TE BE'!$Z$49</f>
        <v>0</v>
      </c>
      <c r="AA41" s="20">
        <f>SUM($Z$41:$Z$41)</f>
        <v>0</v>
      </c>
      <c r="AB41" s="20">
        <f>SUMIF($L$4:$AA$4,"SUBTOTAL",$L$41:$AA$41)</f>
        <v>-1.4826063963412011</v>
      </c>
    </row>
    <row r="42" spans="1:28" ht="11.25" customHeight="1" x14ac:dyDescent="0.3">
      <c r="A42" s="99"/>
      <c r="B42" s="99"/>
      <c r="C42" s="99"/>
      <c r="D42" s="23" t="s">
        <v>49</v>
      </c>
      <c r="E42" s="23" t="s">
        <v>25</v>
      </c>
      <c r="F42" s="23" t="s">
        <v>25</v>
      </c>
      <c r="G42" s="23" t="s">
        <v>74</v>
      </c>
      <c r="H42" s="23" t="s">
        <v>70</v>
      </c>
      <c r="I42" s="23">
        <f>'MERCADO TE'!$U$39</f>
        <v>1567.3130000000001</v>
      </c>
      <c r="J42" s="15"/>
      <c r="L42" s="20">
        <f>'TE BE'!$L$42*'TE BE'!$L$49</f>
        <v>0</v>
      </c>
      <c r="M42" s="20">
        <f>'TE BE'!$M$42*'TE BE'!$M$49</f>
        <v>0</v>
      </c>
      <c r="N42" s="20">
        <f>'TE BE'!$N$42*'TE BE'!$N$49</f>
        <v>0</v>
      </c>
      <c r="O42" s="20">
        <f>'TE BE'!$O$42*'TE BE'!$O$49</f>
        <v>0</v>
      </c>
      <c r="P42" s="20">
        <f>'TE BE'!$P$42*'TE BE'!$P$49</f>
        <v>0</v>
      </c>
      <c r="Q42" s="20">
        <f>SUM($L$42:$P$42)</f>
        <v>0</v>
      </c>
      <c r="R42" s="20">
        <f>'TE BE'!$R$42*'TE BE'!$R$49</f>
        <v>-1.6173887960085829</v>
      </c>
      <c r="S42" s="20">
        <f>SUM($R$42:$R$42)</f>
        <v>-1.6173887960085829</v>
      </c>
      <c r="T42" s="20">
        <f>'TE BE'!$T$42*'TE BE'!$T$49</f>
        <v>0</v>
      </c>
      <c r="U42" s="20">
        <f>'TE BE'!$U$42*'TE BE'!$U$49</f>
        <v>0</v>
      </c>
      <c r="V42" s="20">
        <f>'TE BE'!$V$42*'TE BE'!$V$49</f>
        <v>0</v>
      </c>
      <c r="W42" s="20">
        <f>SUM($T$42:$V$42)</f>
        <v>0</v>
      </c>
      <c r="X42" s="20">
        <f>'TE BE'!$AB$42*'TE BE'!$X$49</f>
        <v>0</v>
      </c>
      <c r="Y42" s="20">
        <f>SUM($X$42:$X$42)</f>
        <v>0</v>
      </c>
      <c r="Z42" s="20">
        <f>'TE BE'!$Z$42*'TE BE'!$Z$49</f>
        <v>0</v>
      </c>
      <c r="AA42" s="20">
        <f>SUM($Z$42:$Z$42)</f>
        <v>0</v>
      </c>
      <c r="AB42" s="20">
        <f>SUMIF($L$4:$AA$4,"SUBTOTAL",$L$42:$AA$42)</f>
        <v>-1.6173887960085829</v>
      </c>
    </row>
    <row r="44" spans="1:28" ht="11.25" customHeight="1" x14ac:dyDescent="0.3">
      <c r="K44" s="25" t="s">
        <v>622</v>
      </c>
      <c r="L44" s="20">
        <f t="shared" ref="L44:AB44" si="0">SUMPRODUCT($I$5:$I$42,L$5:L$42)</f>
        <v>0</v>
      </c>
      <c r="M44" s="20">
        <f t="shared" si="0"/>
        <v>0</v>
      </c>
      <c r="N44" s="20">
        <f t="shared" si="0"/>
        <v>0</v>
      </c>
      <c r="O44" s="20">
        <f t="shared" si="0"/>
        <v>0</v>
      </c>
      <c r="P44" s="20">
        <f t="shared" si="0"/>
        <v>0</v>
      </c>
      <c r="Q44" s="20">
        <f t="shared" si="0"/>
        <v>0</v>
      </c>
      <c r="R44" s="20">
        <f t="shared" si="0"/>
        <v>-134647.15914233806</v>
      </c>
      <c r="S44" s="20">
        <f t="shared" si="0"/>
        <v>-134647.15914233806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-134647.15914233806</v>
      </c>
    </row>
    <row r="45" spans="1:28" ht="11.25" customHeight="1" x14ac:dyDescent="0.3">
      <c r="K45" s="25" t="s">
        <v>541</v>
      </c>
      <c r="L45" s="20">
        <f>CUSTOS!$D$30</f>
        <v>0</v>
      </c>
      <c r="M45" s="20">
        <f>CUSTOS!$D$31</f>
        <v>0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0</v>
      </c>
      <c r="R45" s="20">
        <f>CUSTOS!$D$36</f>
        <v>8464455.5507126208</v>
      </c>
      <c r="S45" s="20">
        <f>CUSTOS!$D$37</f>
        <v>8464455.5507126208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8464455.5507126208</v>
      </c>
    </row>
    <row r="46" spans="1:28" ht="11.25" customHeight="1" x14ac:dyDescent="0.3">
      <c r="K46" s="25" t="s">
        <v>542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-134647.15914233806</v>
      </c>
      <c r="S46" s="20">
        <f>CUSTOS!$E$37</f>
        <v>-134647.15914233806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-134647.15914233806</v>
      </c>
    </row>
    <row r="47" spans="1:28" ht="11.25" customHeight="1" x14ac:dyDescent="0.3">
      <c r="K47" s="25" t="s">
        <v>543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 s="25" t="s">
        <v>623</v>
      </c>
      <c r="L48" s="20">
        <f>'TR TE'!$L$48*L49</f>
        <v>0</v>
      </c>
      <c r="M48" s="20">
        <f>'TR TE'!$M$48*M49</f>
        <v>0</v>
      </c>
      <c r="N48" s="20">
        <f>'TR TE'!$N$48*N49</f>
        <v>0</v>
      </c>
      <c r="O48" s="20">
        <f>'TR TE'!$O$48*O49</f>
        <v>0</v>
      </c>
      <c r="P48" s="20">
        <f>'TR TE'!$P$48*P49</f>
        <v>0</v>
      </c>
      <c r="Q48" s="20"/>
      <c r="R48" s="20">
        <f>'TR TE'!$R$48*R49</f>
        <v>0</v>
      </c>
      <c r="S48" s="20"/>
      <c r="T48" s="20">
        <f>'TR TE'!$T$48*T49</f>
        <v>0</v>
      </c>
      <c r="U48" s="20">
        <f>'TR TE'!$U$48*U49</f>
        <v>0</v>
      </c>
      <c r="V48" s="20">
        <f>'TR TE'!$V$48*V49</f>
        <v>0</v>
      </c>
      <c r="W48" s="20"/>
      <c r="X48" s="20"/>
      <c r="Y48" s="20"/>
      <c r="Z48" s="20">
        <f>'TR TE'!$Z$48*Z49</f>
        <v>0</v>
      </c>
      <c r="AA48" s="20"/>
      <c r="AB48" s="20"/>
    </row>
    <row r="49" spans="11:28" ht="11.25" customHeight="1" x14ac:dyDescent="0.3">
      <c r="K49" s="25" t="s">
        <v>618</v>
      </c>
      <c r="L49" s="20">
        <f>IF(L45&lt;&gt;0,L47/L45,0)</f>
        <v>0</v>
      </c>
      <c r="M49" s="20">
        <f>IF(M45&lt;&gt;0,M47/M45,0)</f>
        <v>0</v>
      </c>
      <c r="N49" s="20">
        <f>IF(N45&lt;&gt;0,N47/N45,0)</f>
        <v>0</v>
      </c>
      <c r="O49" s="20">
        <f>IF(O45&lt;&gt;0,O47/O45,0)</f>
        <v>0</v>
      </c>
      <c r="P49" s="20">
        <f>IF(P45&lt;&gt;0,P47/P45,0)</f>
        <v>0</v>
      </c>
      <c r="Q49" s="20"/>
      <c r="R49" s="20">
        <f>IF(R45&lt;&gt;0,R47/R45,0)</f>
        <v>0</v>
      </c>
      <c r="S49" s="20"/>
      <c r="T49" s="20">
        <f>IF(T45&lt;&gt;0,T47/T45,0)</f>
        <v>0</v>
      </c>
      <c r="U49" s="20">
        <f>IF(U45&lt;&gt;0,U47/U45,0)</f>
        <v>0</v>
      </c>
      <c r="V49" s="20">
        <f>IF(V45&lt;&gt;0,V47/V45,0)</f>
        <v>0</v>
      </c>
      <c r="W49" s="20"/>
      <c r="X49" s="20">
        <f>IF($AB45&lt;&gt;0,X47/($AB45-SUM('TR TE'!$L48:'TR TE'!$AA48)*0),0)</f>
        <v>0</v>
      </c>
      <c r="Y49" s="20"/>
      <c r="Z49" s="20">
        <f>IF(Z45&lt;&gt;0,Z47/Z45,0)</f>
        <v>0</v>
      </c>
      <c r="AA49" s="20"/>
      <c r="AB49" s="20"/>
    </row>
    <row r="50" spans="11:28" ht="11.25" customHeight="1" x14ac:dyDescent="0.3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4">
    <cfRule type="cellIs" dxfId="624" priority="33" operator="notEqual">
      <formula>$L$46</formula>
    </cfRule>
    <cfRule type="cellIs" dxfId="623" priority="34" operator="equal">
      <formula>$L$46</formula>
    </cfRule>
  </conditionalFormatting>
  <conditionalFormatting sqref="M44">
    <cfRule type="cellIs" dxfId="622" priority="31" operator="notEqual">
      <formula>$M$46</formula>
    </cfRule>
    <cfRule type="cellIs" dxfId="621" priority="32" operator="equal">
      <formula>$M$46</formula>
    </cfRule>
  </conditionalFormatting>
  <conditionalFormatting sqref="N44">
    <cfRule type="cellIs" dxfId="620" priority="29" operator="notEqual">
      <formula>$N$46</formula>
    </cfRule>
    <cfRule type="cellIs" dxfId="619" priority="30" operator="equal">
      <formula>$N$46</formula>
    </cfRule>
  </conditionalFormatting>
  <conditionalFormatting sqref="O44">
    <cfRule type="cellIs" dxfId="618" priority="27" operator="notEqual">
      <formula>$O$46</formula>
    </cfRule>
    <cfRule type="cellIs" dxfId="617" priority="28" operator="equal">
      <formula>$O$46</formula>
    </cfRule>
  </conditionalFormatting>
  <conditionalFormatting sqref="P44">
    <cfRule type="cellIs" dxfId="616" priority="25" operator="notEqual">
      <formula>$P$46</formula>
    </cfRule>
    <cfRule type="cellIs" dxfId="615" priority="26" operator="equal">
      <formula>$P$46</formula>
    </cfRule>
  </conditionalFormatting>
  <conditionalFormatting sqref="Q44">
    <cfRule type="cellIs" dxfId="614" priority="23" operator="notEqual">
      <formula>$Q$46</formula>
    </cfRule>
    <cfRule type="cellIs" dxfId="613" priority="24" operator="equal">
      <formula>$Q$46</formula>
    </cfRule>
  </conditionalFormatting>
  <conditionalFormatting sqref="R44">
    <cfRule type="cellIs" dxfId="612" priority="21" operator="notEqual">
      <formula>$R$46</formula>
    </cfRule>
    <cfRule type="cellIs" dxfId="611" priority="22" operator="equal">
      <formula>$R$46</formula>
    </cfRule>
  </conditionalFormatting>
  <conditionalFormatting sqref="S44">
    <cfRule type="cellIs" dxfId="610" priority="19" operator="notEqual">
      <formula>$S$46</formula>
    </cfRule>
    <cfRule type="cellIs" dxfId="609" priority="20" operator="equal">
      <formula>$S$46</formula>
    </cfRule>
  </conditionalFormatting>
  <conditionalFormatting sqref="T44">
    <cfRule type="cellIs" dxfId="608" priority="17" operator="notEqual">
      <formula>$T$46</formula>
    </cfRule>
    <cfRule type="cellIs" dxfId="607" priority="18" operator="equal">
      <formula>$T$46</formula>
    </cfRule>
  </conditionalFormatting>
  <conditionalFormatting sqref="U44">
    <cfRule type="cellIs" dxfId="606" priority="15" operator="notEqual">
      <formula>$U$46</formula>
    </cfRule>
    <cfRule type="cellIs" dxfId="605" priority="16" operator="equal">
      <formula>$U$46</formula>
    </cfRule>
  </conditionalFormatting>
  <conditionalFormatting sqref="V44">
    <cfRule type="cellIs" dxfId="604" priority="13" operator="notEqual">
      <formula>$V$46</formula>
    </cfRule>
    <cfRule type="cellIs" dxfId="603" priority="14" operator="equal">
      <formula>$V$46</formula>
    </cfRule>
  </conditionalFormatting>
  <conditionalFormatting sqref="W44">
    <cfRule type="cellIs" dxfId="602" priority="11" operator="notEqual">
      <formula>$W$46</formula>
    </cfRule>
    <cfRule type="cellIs" dxfId="601" priority="12" operator="equal">
      <formula>$W$46</formula>
    </cfRule>
  </conditionalFormatting>
  <conditionalFormatting sqref="X44">
    <cfRule type="cellIs" dxfId="600" priority="9" operator="notEqual">
      <formula>$X$46</formula>
    </cfRule>
    <cfRule type="cellIs" dxfId="599" priority="10" operator="equal">
      <formula>$X$46</formula>
    </cfRule>
  </conditionalFormatting>
  <conditionalFormatting sqref="Y44">
    <cfRule type="cellIs" dxfId="598" priority="7" operator="notEqual">
      <formula>$Y$46</formula>
    </cfRule>
    <cfRule type="cellIs" dxfId="597" priority="8" operator="equal">
      <formula>$Y$46</formula>
    </cfRule>
  </conditionalFormatting>
  <conditionalFormatting sqref="Z44">
    <cfRule type="cellIs" dxfId="596" priority="5" operator="notEqual">
      <formula>$Z$46</formula>
    </cfRule>
    <cfRule type="cellIs" dxfId="595" priority="6" operator="equal">
      <formula>$Z$46</formula>
    </cfRule>
  </conditionalFormatting>
  <conditionalFormatting sqref="AA44">
    <cfRule type="cellIs" dxfId="594" priority="3" operator="notEqual">
      <formula>$AA$46</formula>
    </cfRule>
    <cfRule type="cellIs" dxfId="593" priority="4" operator="equal">
      <formula>$AA$46</formula>
    </cfRule>
  </conditionalFormatting>
  <conditionalFormatting sqref="AB44">
    <cfRule type="cellIs" dxfId="592" priority="1" operator="notEqual">
      <formula>$AB$46</formula>
    </cfRule>
    <cfRule type="cellIs" dxfId="591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75B9-5DF6-4778-AFF6-87C62DF95E68}">
  <dimension ref="A1:AB50"/>
  <sheetViews>
    <sheetView showGridLines="0" topLeftCell="P32" workbookViewId="0">
      <selection activeCell="AB44" sqref="AB44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0" t="s">
        <v>60</v>
      </c>
      <c r="B1" s="100" t="s">
        <v>61</v>
      </c>
      <c r="C1" s="100" t="s">
        <v>62</v>
      </c>
      <c r="D1" s="100" t="s">
        <v>63</v>
      </c>
      <c r="E1" s="100" t="s">
        <v>64</v>
      </c>
      <c r="F1" s="100" t="s">
        <v>15</v>
      </c>
      <c r="G1" s="100" t="s">
        <v>66</v>
      </c>
      <c r="H1" s="100" t="s">
        <v>67</v>
      </c>
      <c r="I1" s="100" t="s">
        <v>600</v>
      </c>
      <c r="J1" s="84"/>
      <c r="L1" s="101" t="s">
        <v>628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101" t="s">
        <v>527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101" t="s">
        <v>500</v>
      </c>
      <c r="M3" s="101"/>
      <c r="N3" s="101"/>
      <c r="O3" s="101"/>
      <c r="P3" s="101"/>
      <c r="Q3" s="101"/>
      <c r="R3" s="101" t="s">
        <v>531</v>
      </c>
      <c r="S3" s="101"/>
      <c r="T3" s="101" t="s">
        <v>509</v>
      </c>
      <c r="U3" s="101"/>
      <c r="V3" s="101"/>
      <c r="W3" s="101"/>
      <c r="X3" s="101" t="s">
        <v>519</v>
      </c>
      <c r="Y3" s="101"/>
      <c r="Z3" s="101" t="s">
        <v>522</v>
      </c>
      <c r="AA3" s="101"/>
      <c r="AB3" s="101" t="s">
        <v>508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502</v>
      </c>
      <c r="M4" s="24" t="s">
        <v>528</v>
      </c>
      <c r="N4" s="24" t="s">
        <v>529</v>
      </c>
      <c r="O4" s="24" t="s">
        <v>588</v>
      </c>
      <c r="P4" s="24" t="s">
        <v>530</v>
      </c>
      <c r="Q4" s="24" t="s">
        <v>508</v>
      </c>
      <c r="R4" s="24" t="s">
        <v>532</v>
      </c>
      <c r="S4" s="24" t="s">
        <v>508</v>
      </c>
      <c r="T4" s="24" t="s">
        <v>533</v>
      </c>
      <c r="U4" s="24" t="s">
        <v>534</v>
      </c>
      <c r="V4" s="24" t="s">
        <v>535</v>
      </c>
      <c r="W4" s="24" t="s">
        <v>508</v>
      </c>
      <c r="X4" s="24" t="s">
        <v>520</v>
      </c>
      <c r="Y4" s="24" t="s">
        <v>508</v>
      </c>
      <c r="Z4" s="24" t="s">
        <v>536</v>
      </c>
      <c r="AA4" s="24" t="s">
        <v>508</v>
      </c>
      <c r="AB4" s="102"/>
    </row>
    <row r="5" spans="1:28" ht="11.25" customHeight="1" x14ac:dyDescent="0.3">
      <c r="A5" s="99" t="s">
        <v>37</v>
      </c>
      <c r="B5" s="99" t="s">
        <v>69</v>
      </c>
      <c r="C5" s="99" t="s">
        <v>25</v>
      </c>
      <c r="D5" s="99" t="s">
        <v>25</v>
      </c>
      <c r="E5" s="99" t="s">
        <v>25</v>
      </c>
      <c r="F5" s="99" t="s">
        <v>25</v>
      </c>
      <c r="G5" s="23" t="s">
        <v>71</v>
      </c>
      <c r="H5" s="23" t="s">
        <v>70</v>
      </c>
      <c r="I5" s="23">
        <f>'MERCADO TE'!$U$2</f>
        <v>497.70600000000002</v>
      </c>
      <c r="J5" s="15"/>
      <c r="L5" s="20">
        <f>'TE BE'!$L$5*'TE BF'!$L$49</f>
        <v>0</v>
      </c>
      <c r="M5" s="20">
        <f>'TE BE'!$M$5*'TE BF'!$M$49</f>
        <v>0</v>
      </c>
      <c r="N5" s="20">
        <f>'TE BE'!$N$5*'TE BF'!$N$49</f>
        <v>0</v>
      </c>
      <c r="O5" s="20">
        <f>'TE BE'!$O$5*'TE BF'!$O$49</f>
        <v>0</v>
      </c>
      <c r="P5" s="20">
        <f>'TE BE'!$P$5*'TE BF'!$P$49</f>
        <v>0</v>
      </c>
      <c r="Q5" s="20">
        <f>SUM($L$5:$P$5)</f>
        <v>0</v>
      </c>
      <c r="R5" s="20">
        <f>'TE BE'!$R$5*'TE BF'!$R$49</f>
        <v>0</v>
      </c>
      <c r="S5" s="20">
        <f>SUM($R$5:$R$5)</f>
        <v>0</v>
      </c>
      <c r="T5" s="20">
        <f>'TE BE'!$T$5*'TE BF'!$T$49</f>
        <v>0</v>
      </c>
      <c r="U5" s="20">
        <f>'TE BE'!$U$5*'TE BF'!$U$49</f>
        <v>0</v>
      </c>
      <c r="V5" s="20">
        <f>'TE BE'!$V$5*'TE BF'!$V$49</f>
        <v>0</v>
      </c>
      <c r="W5" s="20">
        <f>SUM($T$5:$V$5)</f>
        <v>0</v>
      </c>
      <c r="X5" s="20">
        <f>'TE BE'!$AB$5*'TE BF'!$X$49</f>
        <v>0</v>
      </c>
      <c r="Y5" s="20">
        <f>SUM($X$5:$X$5)</f>
        <v>0</v>
      </c>
      <c r="Z5" s="20">
        <f>'TE BE'!$Z$5*'TE BF'!$Z$49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3">
      <c r="A6" s="99"/>
      <c r="B6" s="99"/>
      <c r="C6" s="99"/>
      <c r="D6" s="99"/>
      <c r="E6" s="99"/>
      <c r="F6" s="99"/>
      <c r="G6" s="23" t="s">
        <v>72</v>
      </c>
      <c r="H6" s="23" t="s">
        <v>70</v>
      </c>
      <c r="I6" s="23">
        <f>'MERCADO TE'!$U$3</f>
        <v>8540.6009999999987</v>
      </c>
      <c r="J6" s="15"/>
      <c r="L6" s="20">
        <f>'TE BE'!$L$6*'TE BF'!$L$49</f>
        <v>0</v>
      </c>
      <c r="M6" s="20">
        <f>'TE BE'!$M$6*'TE BF'!$M$49</f>
        <v>0</v>
      </c>
      <c r="N6" s="20">
        <f>'TE BE'!$N$6*'TE BF'!$N$49</f>
        <v>0</v>
      </c>
      <c r="O6" s="20">
        <f>'TE BE'!$O$6*'TE BF'!$O$49</f>
        <v>0</v>
      </c>
      <c r="P6" s="20">
        <f>'TE BE'!$P$6*'TE BF'!$P$49</f>
        <v>0</v>
      </c>
      <c r="Q6" s="20">
        <f>SUM($L$6:$P$6)</f>
        <v>0</v>
      </c>
      <c r="R6" s="20">
        <f>'TE BE'!$R$6*'TE BF'!$R$49</f>
        <v>0</v>
      </c>
      <c r="S6" s="20">
        <f>SUM($R$6:$R$6)</f>
        <v>0</v>
      </c>
      <c r="T6" s="20">
        <f>'TE BE'!$T$6*'TE BF'!$T$49</f>
        <v>0</v>
      </c>
      <c r="U6" s="20">
        <f>'TE BE'!$U$6*'TE BF'!$U$49</f>
        <v>0</v>
      </c>
      <c r="V6" s="20">
        <f>'TE BE'!$V$6*'TE BF'!$V$49</f>
        <v>0</v>
      </c>
      <c r="W6" s="20">
        <f>SUM($T$6:$V$6)</f>
        <v>0</v>
      </c>
      <c r="X6" s="20">
        <f>'TE BE'!$AB$6*'TE BF'!$X$49</f>
        <v>0</v>
      </c>
      <c r="Y6" s="20">
        <f>SUM($X$6:$X$6)</f>
        <v>0</v>
      </c>
      <c r="Z6" s="20">
        <f>'TE BE'!$Z$6*'TE BF'!$Z$49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3">
      <c r="A7" s="99"/>
      <c r="B7" s="22" t="s">
        <v>73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74</v>
      </c>
      <c r="H7" s="23" t="s">
        <v>70</v>
      </c>
      <c r="I7" s="23">
        <f>'MERCADO TE'!$U$4</f>
        <v>0</v>
      </c>
      <c r="J7" s="15"/>
      <c r="L7" s="20">
        <f>'TE BE'!$L$7*'TE BF'!$L$49</f>
        <v>0</v>
      </c>
      <c r="M7" s="20">
        <f>'TE BE'!$M$7*'TE BF'!$M$49</f>
        <v>0</v>
      </c>
      <c r="N7" s="20">
        <f>'TE BE'!$N$7*'TE BF'!$N$49</f>
        <v>0</v>
      </c>
      <c r="O7" s="20">
        <f>'TE BE'!$O$7*'TE BF'!$O$49</f>
        <v>0</v>
      </c>
      <c r="P7" s="20">
        <f>'TE BE'!$P$7*'TE BF'!$P$49</f>
        <v>0</v>
      </c>
      <c r="Q7" s="20">
        <f>SUM($L$7:$P$7)</f>
        <v>0</v>
      </c>
      <c r="R7" s="20">
        <f>'TE BE'!$R$7*'TE BF'!$R$49</f>
        <v>0</v>
      </c>
      <c r="S7" s="20">
        <f>SUM($R$7:$R$7)</f>
        <v>0</v>
      </c>
      <c r="T7" s="20">
        <f>'TE BE'!$T$7*'TE BF'!$T$49</f>
        <v>0</v>
      </c>
      <c r="U7" s="20">
        <f>'TE BE'!$U$7*'TE BF'!$U$49</f>
        <v>0</v>
      </c>
      <c r="V7" s="20">
        <f>'TE BE'!$V$7*'TE BF'!$V$49</f>
        <v>0</v>
      </c>
      <c r="W7" s="20">
        <f>SUM($T$7:$V$7)</f>
        <v>0</v>
      </c>
      <c r="X7" s="20">
        <f>'TE BE'!$AB$7*'TE BF'!$X$49</f>
        <v>0</v>
      </c>
      <c r="Y7" s="20">
        <f>SUM($X$7:$X$7)</f>
        <v>0</v>
      </c>
      <c r="Z7" s="20">
        <f>'TE BE'!$Z$7*'TE BF'!$Z$49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3">
      <c r="A8" s="99" t="s">
        <v>22</v>
      </c>
      <c r="B8" s="99" t="s">
        <v>69</v>
      </c>
      <c r="C8" s="99" t="s">
        <v>24</v>
      </c>
      <c r="D8" s="99" t="s">
        <v>24</v>
      </c>
      <c r="E8" s="99" t="s">
        <v>25</v>
      </c>
      <c r="F8" s="99" t="s">
        <v>25</v>
      </c>
      <c r="G8" s="23" t="s">
        <v>71</v>
      </c>
      <c r="H8" s="23" t="s">
        <v>70</v>
      </c>
      <c r="I8" s="23">
        <f>'MERCADO TE'!$U$5</f>
        <v>0.66799999999999993</v>
      </c>
      <c r="J8" s="15"/>
      <c r="L8" s="20">
        <f>'TE BE'!$L$8*'TE BF'!$L$49</f>
        <v>0</v>
      </c>
      <c r="M8" s="20">
        <f>'TE BE'!$M$8*'TE BF'!$M$49</f>
        <v>0</v>
      </c>
      <c r="N8" s="20">
        <f>'TE BE'!$N$8*'TE BF'!$N$49</f>
        <v>0</v>
      </c>
      <c r="O8" s="20">
        <f>'TE BE'!$O$8*'TE BF'!$O$49</f>
        <v>0</v>
      </c>
      <c r="P8" s="20">
        <f>'TE BE'!$P$8*'TE BF'!$P$49</f>
        <v>0</v>
      </c>
      <c r="Q8" s="20">
        <f>SUM($L$8:$P$8)</f>
        <v>0</v>
      </c>
      <c r="R8" s="20">
        <f>'TE BE'!$R$8*'TE BF'!$R$49</f>
        <v>0</v>
      </c>
      <c r="S8" s="20">
        <f>SUM($R$8:$R$8)</f>
        <v>0</v>
      </c>
      <c r="T8" s="20">
        <f>'TE BE'!$T$8*'TE BF'!$T$49</f>
        <v>0</v>
      </c>
      <c r="U8" s="20">
        <f>'TE BE'!$U$8*'TE BF'!$U$49</f>
        <v>0</v>
      </c>
      <c r="V8" s="20">
        <f>'TE BE'!$V$8*'TE BF'!$V$49</f>
        <v>0</v>
      </c>
      <c r="W8" s="20">
        <f>SUM($T$8:$V$8)</f>
        <v>0</v>
      </c>
      <c r="X8" s="20">
        <f>'TE BE'!$AB$8*'TE BF'!$X$49</f>
        <v>0</v>
      </c>
      <c r="Y8" s="20">
        <f>SUM($X$8:$X$8)</f>
        <v>0</v>
      </c>
      <c r="Z8" s="20">
        <f>'TE BE'!$Z$8*'TE BF'!$Z$49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3">
      <c r="A9" s="99"/>
      <c r="B9" s="99"/>
      <c r="C9" s="99"/>
      <c r="D9" s="99"/>
      <c r="E9" s="99"/>
      <c r="F9" s="99"/>
      <c r="G9" s="23" t="s">
        <v>83</v>
      </c>
      <c r="H9" s="23" t="s">
        <v>70</v>
      </c>
      <c r="I9" s="23">
        <f>'MERCADO TE'!$U$6</f>
        <v>0.34</v>
      </c>
      <c r="J9" s="15"/>
      <c r="L9" s="20">
        <f>'TE BE'!$L$9*'TE BF'!$L$49</f>
        <v>0</v>
      </c>
      <c r="M9" s="20">
        <f>'TE BE'!$M$9*'TE BF'!$M$49</f>
        <v>0</v>
      </c>
      <c r="N9" s="20">
        <f>'TE BE'!$N$9*'TE BF'!$N$49</f>
        <v>0</v>
      </c>
      <c r="O9" s="20">
        <f>'TE BE'!$O$9*'TE BF'!$O$49</f>
        <v>0</v>
      </c>
      <c r="P9" s="20">
        <f>'TE BE'!$P$9*'TE BF'!$P$49</f>
        <v>0</v>
      </c>
      <c r="Q9" s="20">
        <f>SUM($L$9:$P$9)</f>
        <v>0</v>
      </c>
      <c r="R9" s="20">
        <f>'TE BE'!$R$9*'TE BF'!$R$49</f>
        <v>0</v>
      </c>
      <c r="S9" s="20">
        <f>SUM($R$9:$R$9)</f>
        <v>0</v>
      </c>
      <c r="T9" s="20">
        <f>'TE BE'!$T$9*'TE BF'!$T$49</f>
        <v>0</v>
      </c>
      <c r="U9" s="20">
        <f>'TE BE'!$U$9*'TE BF'!$U$49</f>
        <v>0</v>
      </c>
      <c r="V9" s="20">
        <f>'TE BE'!$V$9*'TE BF'!$V$49</f>
        <v>0</v>
      </c>
      <c r="W9" s="20">
        <f>SUM($T$9:$V$9)</f>
        <v>0</v>
      </c>
      <c r="X9" s="20">
        <f>'TE BE'!$AB$9*'TE BF'!$X$49</f>
        <v>0</v>
      </c>
      <c r="Y9" s="20">
        <f>SUM($X$9:$X$9)</f>
        <v>0</v>
      </c>
      <c r="Z9" s="20">
        <f>'TE BE'!$Z$9*'TE BF'!$Z$49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3">
      <c r="A10" s="99"/>
      <c r="B10" s="99"/>
      <c r="C10" s="99"/>
      <c r="D10" s="99"/>
      <c r="E10" s="99"/>
      <c r="F10" s="99"/>
      <c r="G10" s="23" t="s">
        <v>72</v>
      </c>
      <c r="H10" s="23" t="s">
        <v>70</v>
      </c>
      <c r="I10" s="23">
        <f>'MERCADO TE'!$U$7</f>
        <v>8.6609999999999996</v>
      </c>
      <c r="J10" s="15"/>
      <c r="L10" s="20">
        <f>'TE BE'!$L$10*'TE BF'!$L$49</f>
        <v>0</v>
      </c>
      <c r="M10" s="20">
        <f>'TE BE'!$M$10*'TE BF'!$M$49</f>
        <v>0</v>
      </c>
      <c r="N10" s="20">
        <f>'TE BE'!$N$10*'TE BF'!$N$49</f>
        <v>0</v>
      </c>
      <c r="O10" s="20">
        <f>'TE BE'!$O$10*'TE BF'!$O$49</f>
        <v>0</v>
      </c>
      <c r="P10" s="20">
        <f>'TE BE'!$P$10*'TE BF'!$P$49</f>
        <v>0</v>
      </c>
      <c r="Q10" s="20">
        <f>SUM($L$10:$P$10)</f>
        <v>0</v>
      </c>
      <c r="R10" s="20">
        <f>'TE BE'!$R$10*'TE BF'!$R$49</f>
        <v>0</v>
      </c>
      <c r="S10" s="20">
        <f>SUM($R$10:$R$10)</f>
        <v>0</v>
      </c>
      <c r="T10" s="20">
        <f>'TE BE'!$T$10*'TE BF'!$T$49</f>
        <v>0</v>
      </c>
      <c r="U10" s="20">
        <f>'TE BE'!$U$10*'TE BF'!$U$49</f>
        <v>0</v>
      </c>
      <c r="V10" s="20">
        <f>'TE BE'!$V$10*'TE BF'!$V$49</f>
        <v>0</v>
      </c>
      <c r="W10" s="20">
        <f>SUM($T$10:$V$10)</f>
        <v>0</v>
      </c>
      <c r="X10" s="20">
        <f>'TE BE'!$AB$10*'TE BF'!$X$49</f>
        <v>0</v>
      </c>
      <c r="Y10" s="20">
        <f>SUM($X$10:$X$10)</f>
        <v>0</v>
      </c>
      <c r="Z10" s="20">
        <f>'TE BE'!$Z$10*'TE BF'!$Z$49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3">
      <c r="A11" s="99"/>
      <c r="B11" s="99" t="s">
        <v>73</v>
      </c>
      <c r="C11" s="99" t="s">
        <v>24</v>
      </c>
      <c r="D11" s="22" t="s">
        <v>24</v>
      </c>
      <c r="E11" s="22" t="s">
        <v>25</v>
      </c>
      <c r="F11" s="22" t="s">
        <v>25</v>
      </c>
      <c r="G11" s="23" t="s">
        <v>74</v>
      </c>
      <c r="H11" s="23" t="s">
        <v>70</v>
      </c>
      <c r="I11" s="23">
        <f>'MERCADO TE'!$U$8</f>
        <v>15958.987000000001</v>
      </c>
      <c r="J11" s="15"/>
      <c r="L11" s="20">
        <f>'TE BE'!$L$11*'TE BF'!$L$49</f>
        <v>0</v>
      </c>
      <c r="M11" s="20">
        <f>'TE BE'!$M$11*'TE BF'!$M$49</f>
        <v>0</v>
      </c>
      <c r="N11" s="20">
        <f>'TE BE'!$N$11*'TE BF'!$N$49</f>
        <v>0</v>
      </c>
      <c r="O11" s="20">
        <f>'TE BE'!$O$11*'TE BF'!$O$49</f>
        <v>0</v>
      </c>
      <c r="P11" s="20">
        <f>'TE BE'!$P$11*'TE BF'!$P$49</f>
        <v>0</v>
      </c>
      <c r="Q11" s="20">
        <f>SUM($L$11:$P$11)</f>
        <v>0</v>
      </c>
      <c r="R11" s="20">
        <f>'TE BE'!$R$11*'TE BF'!$R$49</f>
        <v>0</v>
      </c>
      <c r="S11" s="20">
        <f>SUM($R$11:$R$11)</f>
        <v>0</v>
      </c>
      <c r="T11" s="20">
        <f>'TE BE'!$T$11*'TE BF'!$T$49</f>
        <v>0</v>
      </c>
      <c r="U11" s="20">
        <f>'TE BE'!$U$11*'TE BF'!$U$49</f>
        <v>0</v>
      </c>
      <c r="V11" s="20">
        <f>'TE BE'!$V$11*'TE BF'!$V$49</f>
        <v>0</v>
      </c>
      <c r="W11" s="20">
        <f>SUM($T$11:$V$11)</f>
        <v>0</v>
      </c>
      <c r="X11" s="20">
        <f>'TE BE'!$AB$11*'TE BF'!$X$49</f>
        <v>0</v>
      </c>
      <c r="Y11" s="20">
        <f>SUM($X$11:$X$11)</f>
        <v>0</v>
      </c>
      <c r="Z11" s="20">
        <f>'TE BE'!$Z$11*'TE BF'!$Z$49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3">
      <c r="A12" s="99"/>
      <c r="B12" s="99"/>
      <c r="C12" s="99"/>
      <c r="D12" s="22" t="s">
        <v>29</v>
      </c>
      <c r="E12" s="22" t="s">
        <v>25</v>
      </c>
      <c r="F12" s="22" t="s">
        <v>25</v>
      </c>
      <c r="G12" s="23" t="s">
        <v>74</v>
      </c>
      <c r="H12" s="23" t="s">
        <v>70</v>
      </c>
      <c r="I12" s="23">
        <f>'MERCADO TE'!$U$9</f>
        <v>86.132999999999996</v>
      </c>
      <c r="J12" s="15"/>
      <c r="L12" s="20">
        <f>'TE BE'!$L$12*'TE BF'!$L$49</f>
        <v>0</v>
      </c>
      <c r="M12" s="20">
        <f>'TE BE'!$M$12*'TE BF'!$M$49</f>
        <v>0</v>
      </c>
      <c r="N12" s="20">
        <f>'TE BE'!$N$12*'TE BF'!$N$49</f>
        <v>0</v>
      </c>
      <c r="O12" s="20">
        <f>'TE BE'!$O$12*'TE BF'!$O$49</f>
        <v>0</v>
      </c>
      <c r="P12" s="20">
        <f>'TE BE'!$P$12*'TE BF'!$P$49</f>
        <v>0</v>
      </c>
      <c r="Q12" s="20">
        <f>SUM($L$12:$P$12)</f>
        <v>0</v>
      </c>
      <c r="R12" s="20">
        <f>'TE BE'!$R$12*'TE BF'!$R$49</f>
        <v>0</v>
      </c>
      <c r="S12" s="20">
        <f>SUM($R$12:$R$12)</f>
        <v>0</v>
      </c>
      <c r="T12" s="20">
        <f>'TE BE'!$T$12*'TE BF'!$T$49</f>
        <v>0</v>
      </c>
      <c r="U12" s="20">
        <f>'TE BE'!$U$12*'TE BF'!$U$49</f>
        <v>0</v>
      </c>
      <c r="V12" s="20">
        <f>'TE BE'!$V$12*'TE BF'!$V$49</f>
        <v>0</v>
      </c>
      <c r="W12" s="20">
        <f>SUM($T$12:$V$12)</f>
        <v>0</v>
      </c>
      <c r="X12" s="20">
        <f>'TE BE'!$AB$12*'TE BF'!$X$49</f>
        <v>0</v>
      </c>
      <c r="Y12" s="20">
        <f>SUM($X$12:$X$12)</f>
        <v>0</v>
      </c>
      <c r="Z12" s="20">
        <f>'TE BE'!$Z$12*'TE BF'!$Z$49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3">
      <c r="A13" s="99"/>
      <c r="B13" s="99"/>
      <c r="C13" s="99"/>
      <c r="D13" s="22" t="s">
        <v>30</v>
      </c>
      <c r="E13" s="22" t="s">
        <v>25</v>
      </c>
      <c r="F13" s="22" t="s">
        <v>25</v>
      </c>
      <c r="G13" s="23" t="s">
        <v>74</v>
      </c>
      <c r="H13" s="23" t="s">
        <v>70</v>
      </c>
      <c r="I13" s="23">
        <f>'MERCADO TE'!$U$10</f>
        <v>172.315</v>
      </c>
      <c r="J13" s="15"/>
      <c r="L13" s="20">
        <f>'TE BE'!$L$13*'TE BF'!$L$49</f>
        <v>0</v>
      </c>
      <c r="M13" s="20">
        <f>'TE BE'!$M$13*'TE BF'!$M$49</f>
        <v>0</v>
      </c>
      <c r="N13" s="20">
        <f>'TE BE'!$N$13*'TE BF'!$N$49</f>
        <v>0</v>
      </c>
      <c r="O13" s="20">
        <f>'TE BE'!$O$13*'TE BF'!$O$49</f>
        <v>0</v>
      </c>
      <c r="P13" s="20">
        <f>'TE BE'!$P$13*'TE BF'!$P$49</f>
        <v>0</v>
      </c>
      <c r="Q13" s="20">
        <f>SUM($L$13:$P$13)</f>
        <v>0</v>
      </c>
      <c r="R13" s="20">
        <f>'TE BE'!$R$13*'TE BF'!$R$49</f>
        <v>0</v>
      </c>
      <c r="S13" s="20">
        <f>SUM($R$13:$R$13)</f>
        <v>0</v>
      </c>
      <c r="T13" s="20">
        <f>'TE BE'!$T$13*'TE BF'!$T$49</f>
        <v>0</v>
      </c>
      <c r="U13" s="20">
        <f>'TE BE'!$U$13*'TE BF'!$U$49</f>
        <v>0</v>
      </c>
      <c r="V13" s="20">
        <f>'TE BE'!$V$13*'TE BF'!$V$49</f>
        <v>0</v>
      </c>
      <c r="W13" s="20">
        <f>SUM($T$13:$V$13)</f>
        <v>0</v>
      </c>
      <c r="X13" s="20">
        <f>'TE BE'!$AB$13*'TE BF'!$X$49</f>
        <v>0</v>
      </c>
      <c r="Y13" s="20">
        <f>SUM($X$13:$X$13)</f>
        <v>0</v>
      </c>
      <c r="Z13" s="20">
        <f>'TE BE'!$Z$13*'TE BF'!$Z$49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3">
      <c r="A14" s="99"/>
      <c r="B14" s="99"/>
      <c r="C14" s="99"/>
      <c r="D14" s="22" t="s">
        <v>31</v>
      </c>
      <c r="E14" s="22" t="s">
        <v>25</v>
      </c>
      <c r="F14" s="22" t="s">
        <v>25</v>
      </c>
      <c r="G14" s="23" t="s">
        <v>74</v>
      </c>
      <c r="H14" s="23" t="s">
        <v>70</v>
      </c>
      <c r="I14" s="23">
        <f>'MERCADO TE'!$U$11</f>
        <v>174.131</v>
      </c>
      <c r="J14" s="15"/>
      <c r="L14" s="20">
        <f>'TE BE'!$L$14*'TE BF'!$L$49</f>
        <v>0</v>
      </c>
      <c r="M14" s="20">
        <f>'TE BE'!$M$14*'TE BF'!$M$49</f>
        <v>0</v>
      </c>
      <c r="N14" s="20">
        <f>'TE BE'!$N$14*'TE BF'!$N$49</f>
        <v>0</v>
      </c>
      <c r="O14" s="20">
        <f>'TE BE'!$O$14*'TE BF'!$O$49</f>
        <v>0</v>
      </c>
      <c r="P14" s="20">
        <f>'TE BE'!$P$14*'TE BF'!$P$49</f>
        <v>0</v>
      </c>
      <c r="Q14" s="20">
        <f>SUM($L$14:$P$14)</f>
        <v>0</v>
      </c>
      <c r="R14" s="20">
        <f>'TE BE'!$R$14*'TE BF'!$R$49</f>
        <v>0</v>
      </c>
      <c r="S14" s="20">
        <f>SUM($R$14:$R$14)</f>
        <v>0</v>
      </c>
      <c r="T14" s="20">
        <f>'TE BE'!$T$14*'TE BF'!$T$49</f>
        <v>0</v>
      </c>
      <c r="U14" s="20">
        <f>'TE BE'!$U$14*'TE BF'!$U$49</f>
        <v>0</v>
      </c>
      <c r="V14" s="20">
        <f>'TE BE'!$V$14*'TE BF'!$V$49</f>
        <v>0</v>
      </c>
      <c r="W14" s="20">
        <f>SUM($T$14:$V$14)</f>
        <v>0</v>
      </c>
      <c r="X14" s="20">
        <f>'TE BE'!$AB$14*'TE BF'!$X$49</f>
        <v>0</v>
      </c>
      <c r="Y14" s="20">
        <f>SUM($X$14:$X$14)</f>
        <v>0</v>
      </c>
      <c r="Z14" s="20">
        <f>'TE BE'!$Z$14*'TE BF'!$Z$49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3">
      <c r="A15" s="99"/>
      <c r="B15" s="99"/>
      <c r="C15" s="99"/>
      <c r="D15" s="22" t="s">
        <v>32</v>
      </c>
      <c r="E15" s="22" t="s">
        <v>25</v>
      </c>
      <c r="F15" s="22" t="s">
        <v>25</v>
      </c>
      <c r="G15" s="23" t="s">
        <v>74</v>
      </c>
      <c r="H15" s="23" t="s">
        <v>70</v>
      </c>
      <c r="I15" s="23">
        <f>'MERCADO TE'!$U$12</f>
        <v>71.680000000000007</v>
      </c>
      <c r="J15" s="15"/>
      <c r="L15" s="20">
        <f>'TE BE'!$L$15*'TE BF'!$L$49</f>
        <v>0</v>
      </c>
      <c r="M15" s="20">
        <f>'TE BE'!$M$15*'TE BF'!$M$49</f>
        <v>0</v>
      </c>
      <c r="N15" s="20">
        <f>'TE BE'!$N$15*'TE BF'!$N$49</f>
        <v>0</v>
      </c>
      <c r="O15" s="20">
        <f>'TE BE'!$O$15*'TE BF'!$O$49</f>
        <v>0</v>
      </c>
      <c r="P15" s="20">
        <f>'TE BE'!$P$15*'TE BF'!$P$49</f>
        <v>0</v>
      </c>
      <c r="Q15" s="20">
        <f>SUM($L$15:$P$15)</f>
        <v>0</v>
      </c>
      <c r="R15" s="20">
        <f>'TE BE'!$R$15*'TE BF'!$R$49</f>
        <v>0</v>
      </c>
      <c r="S15" s="20">
        <f>SUM($R$15:$R$15)</f>
        <v>0</v>
      </c>
      <c r="T15" s="20">
        <f>'TE BE'!$T$15*'TE BF'!$T$49</f>
        <v>0</v>
      </c>
      <c r="U15" s="20">
        <f>'TE BE'!$U$15*'TE BF'!$U$49</f>
        <v>0</v>
      </c>
      <c r="V15" s="20">
        <f>'TE BE'!$V$15*'TE BF'!$V$49</f>
        <v>0</v>
      </c>
      <c r="W15" s="20">
        <f>SUM($T$15:$V$15)</f>
        <v>0</v>
      </c>
      <c r="X15" s="20">
        <f>'TE BE'!$AB$15*'TE BF'!$X$49</f>
        <v>0</v>
      </c>
      <c r="Y15" s="20">
        <f>SUM($X$15:$X$15)</f>
        <v>0</v>
      </c>
      <c r="Z15" s="20">
        <f>'TE BE'!$Z$15*'TE BF'!$Z$49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3">
      <c r="A16" s="99"/>
      <c r="B16" s="99" t="s">
        <v>84</v>
      </c>
      <c r="C16" s="99" t="s">
        <v>24</v>
      </c>
      <c r="D16" s="22" t="s">
        <v>24</v>
      </c>
      <c r="E16" s="22" t="s">
        <v>25</v>
      </c>
      <c r="F16" s="22" t="s">
        <v>25</v>
      </c>
      <c r="G16" s="23" t="s">
        <v>74</v>
      </c>
      <c r="H16" s="23" t="s">
        <v>70</v>
      </c>
      <c r="I16" s="23">
        <f>'MERCADO TE'!$U$13</f>
        <v>0</v>
      </c>
      <c r="J16" s="15"/>
      <c r="L16" s="20">
        <f>'TE BE'!$L$16*'TE BF'!$L$49</f>
        <v>0</v>
      </c>
      <c r="M16" s="20">
        <f>'TE BE'!$M$16*'TE BF'!$M$49</f>
        <v>0</v>
      </c>
      <c r="N16" s="20">
        <f>'TE BE'!$N$16*'TE BF'!$N$49</f>
        <v>0</v>
      </c>
      <c r="O16" s="20">
        <f>'TE BE'!$O$16*'TE BF'!$O$49</f>
        <v>0</v>
      </c>
      <c r="P16" s="20">
        <f>'TE BE'!$P$16*'TE BF'!$P$49</f>
        <v>0</v>
      </c>
      <c r="Q16" s="20">
        <f>SUM($L$16:$P$16)</f>
        <v>0</v>
      </c>
      <c r="R16" s="20">
        <f>'TE BE'!$R$16*'TE BF'!$R$49</f>
        <v>0</v>
      </c>
      <c r="S16" s="20">
        <f>SUM($R$16:$R$16)</f>
        <v>0</v>
      </c>
      <c r="T16" s="20">
        <f>'TE BE'!$T$16*'TE BF'!$T$49</f>
        <v>0</v>
      </c>
      <c r="U16" s="20">
        <f>'TE BE'!$U$16*'TE BF'!$U$49</f>
        <v>0</v>
      </c>
      <c r="V16" s="20">
        <f>'TE BE'!$V$16*'TE BF'!$V$49</f>
        <v>0</v>
      </c>
      <c r="W16" s="20">
        <f>SUM($T$16:$V$16)</f>
        <v>0</v>
      </c>
      <c r="X16" s="20">
        <f>'TE BE'!$AB$16*'TE BF'!$X$49</f>
        <v>0</v>
      </c>
      <c r="Y16" s="20">
        <f>SUM($X$16:$X$16)</f>
        <v>0</v>
      </c>
      <c r="Z16" s="20">
        <f>'TE BE'!$Z$16*'TE BF'!$Z$49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3">
      <c r="A17" s="99"/>
      <c r="B17" s="99"/>
      <c r="C17" s="99"/>
      <c r="D17" s="22" t="s">
        <v>29</v>
      </c>
      <c r="E17" s="22" t="s">
        <v>25</v>
      </c>
      <c r="F17" s="22" t="s">
        <v>25</v>
      </c>
      <c r="G17" s="23" t="s">
        <v>74</v>
      </c>
      <c r="H17" s="23" t="s">
        <v>70</v>
      </c>
      <c r="I17" s="23">
        <f>'MERCADO TE'!$U$14</f>
        <v>0</v>
      </c>
      <c r="J17" s="15"/>
      <c r="L17" s="20">
        <f>'TE BE'!$L$17*'TE BF'!$L$49</f>
        <v>0</v>
      </c>
      <c r="M17" s="20">
        <f>'TE BE'!$M$17*'TE BF'!$M$49</f>
        <v>0</v>
      </c>
      <c r="N17" s="20">
        <f>'TE BE'!$N$17*'TE BF'!$N$49</f>
        <v>0</v>
      </c>
      <c r="O17" s="20">
        <f>'TE BE'!$O$17*'TE BF'!$O$49</f>
        <v>0</v>
      </c>
      <c r="P17" s="20">
        <f>'TE BE'!$P$17*'TE BF'!$P$49</f>
        <v>0</v>
      </c>
      <c r="Q17" s="20">
        <f>SUM($L$17:$P$17)</f>
        <v>0</v>
      </c>
      <c r="R17" s="20">
        <f>'TE BE'!$R$17*'TE BF'!$R$49</f>
        <v>0</v>
      </c>
      <c r="S17" s="20">
        <f>SUM($R$17:$R$17)</f>
        <v>0</v>
      </c>
      <c r="T17" s="20">
        <f>'TE BE'!$T$17*'TE BF'!$T$49</f>
        <v>0</v>
      </c>
      <c r="U17" s="20">
        <f>'TE BE'!$U$17*'TE BF'!$U$49</f>
        <v>0</v>
      </c>
      <c r="V17" s="20">
        <f>'TE BE'!$V$17*'TE BF'!$V$49</f>
        <v>0</v>
      </c>
      <c r="W17" s="20">
        <f>SUM($T$17:$V$17)</f>
        <v>0</v>
      </c>
      <c r="X17" s="20">
        <f>'TE BE'!$AB$17*'TE BF'!$X$49</f>
        <v>0</v>
      </c>
      <c r="Y17" s="20">
        <f>SUM($X$17:$X$17)</f>
        <v>0</v>
      </c>
      <c r="Z17" s="20">
        <f>'TE BE'!$Z$17*'TE BF'!$Z$49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3">
      <c r="A18" s="99"/>
      <c r="B18" s="99"/>
      <c r="C18" s="99"/>
      <c r="D18" s="22" t="s">
        <v>30</v>
      </c>
      <c r="E18" s="22" t="s">
        <v>25</v>
      </c>
      <c r="F18" s="22" t="s">
        <v>25</v>
      </c>
      <c r="G18" s="23" t="s">
        <v>74</v>
      </c>
      <c r="H18" s="23" t="s">
        <v>70</v>
      </c>
      <c r="I18" s="23">
        <f>'MERCADO TE'!$U$15</f>
        <v>0</v>
      </c>
      <c r="J18" s="15"/>
      <c r="L18" s="20">
        <f>'TE BE'!$L$18*'TE BF'!$L$49</f>
        <v>0</v>
      </c>
      <c r="M18" s="20">
        <f>'TE BE'!$M$18*'TE BF'!$M$49</f>
        <v>0</v>
      </c>
      <c r="N18" s="20">
        <f>'TE BE'!$N$18*'TE BF'!$N$49</f>
        <v>0</v>
      </c>
      <c r="O18" s="20">
        <f>'TE BE'!$O$18*'TE BF'!$O$49</f>
        <v>0</v>
      </c>
      <c r="P18" s="20">
        <f>'TE BE'!$P$18*'TE BF'!$P$49</f>
        <v>0</v>
      </c>
      <c r="Q18" s="20">
        <f>SUM($L$18:$P$18)</f>
        <v>0</v>
      </c>
      <c r="R18" s="20">
        <f>'TE BE'!$R$18*'TE BF'!$R$49</f>
        <v>0</v>
      </c>
      <c r="S18" s="20">
        <f>SUM($R$18:$R$18)</f>
        <v>0</v>
      </c>
      <c r="T18" s="20">
        <f>'TE BE'!$T$18*'TE BF'!$T$49</f>
        <v>0</v>
      </c>
      <c r="U18" s="20">
        <f>'TE BE'!$U$18*'TE BF'!$U$49</f>
        <v>0</v>
      </c>
      <c r="V18" s="20">
        <f>'TE BE'!$V$18*'TE BF'!$V$49</f>
        <v>0</v>
      </c>
      <c r="W18" s="20">
        <f>SUM($T$18:$V$18)</f>
        <v>0</v>
      </c>
      <c r="X18" s="20">
        <f>'TE BE'!$AB$18*'TE BF'!$X$49</f>
        <v>0</v>
      </c>
      <c r="Y18" s="20">
        <f>SUM($X$18:$X$18)</f>
        <v>0</v>
      </c>
      <c r="Z18" s="20">
        <f>'TE BE'!$Z$18*'TE BF'!$Z$49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3">
      <c r="A19" s="99"/>
      <c r="B19" s="99"/>
      <c r="C19" s="99"/>
      <c r="D19" s="22" t="s">
        <v>31</v>
      </c>
      <c r="E19" s="22" t="s">
        <v>25</v>
      </c>
      <c r="F19" s="22" t="s">
        <v>25</v>
      </c>
      <c r="G19" s="23" t="s">
        <v>74</v>
      </c>
      <c r="H19" s="23" t="s">
        <v>70</v>
      </c>
      <c r="I19" s="23">
        <f>'MERCADO TE'!$U$16</f>
        <v>0</v>
      </c>
      <c r="J19" s="15"/>
      <c r="L19" s="20">
        <f>'TE BE'!$L$19*'TE BF'!$L$49</f>
        <v>0</v>
      </c>
      <c r="M19" s="20">
        <f>'TE BE'!$M$19*'TE BF'!$M$49</f>
        <v>0</v>
      </c>
      <c r="N19" s="20">
        <f>'TE BE'!$N$19*'TE BF'!$N$49</f>
        <v>0</v>
      </c>
      <c r="O19" s="20">
        <f>'TE BE'!$O$19*'TE BF'!$O$49</f>
        <v>0</v>
      </c>
      <c r="P19" s="20">
        <f>'TE BE'!$P$19*'TE BF'!$P$49</f>
        <v>0</v>
      </c>
      <c r="Q19" s="20">
        <f>SUM($L$19:$P$19)</f>
        <v>0</v>
      </c>
      <c r="R19" s="20">
        <f>'TE BE'!$R$19*'TE BF'!$R$49</f>
        <v>0</v>
      </c>
      <c r="S19" s="20">
        <f>SUM($R$19:$R$19)</f>
        <v>0</v>
      </c>
      <c r="T19" s="20">
        <f>'TE BE'!$T$19*'TE BF'!$T$49</f>
        <v>0</v>
      </c>
      <c r="U19" s="20">
        <f>'TE BE'!$U$19*'TE BF'!$U$49</f>
        <v>0</v>
      </c>
      <c r="V19" s="20">
        <f>'TE BE'!$V$19*'TE BF'!$V$49</f>
        <v>0</v>
      </c>
      <c r="W19" s="20">
        <f>SUM($T$19:$V$19)</f>
        <v>0</v>
      </c>
      <c r="X19" s="20">
        <f>'TE BE'!$AB$19*'TE BF'!$X$49</f>
        <v>0</v>
      </c>
      <c r="Y19" s="20">
        <f>SUM($X$19:$X$19)</f>
        <v>0</v>
      </c>
      <c r="Z19" s="20">
        <f>'TE BE'!$Z$19*'TE BF'!$Z$49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3">
      <c r="A20" s="99"/>
      <c r="B20" s="99"/>
      <c r="C20" s="99"/>
      <c r="D20" s="22" t="s">
        <v>32</v>
      </c>
      <c r="E20" s="22" t="s">
        <v>25</v>
      </c>
      <c r="F20" s="22" t="s">
        <v>25</v>
      </c>
      <c r="G20" s="23" t="s">
        <v>74</v>
      </c>
      <c r="H20" s="23" t="s">
        <v>70</v>
      </c>
      <c r="I20" s="23">
        <f>'MERCADO TE'!$U$17</f>
        <v>0</v>
      </c>
      <c r="J20" s="15"/>
      <c r="L20" s="20">
        <f>'TE BE'!$L$20*'TE BF'!$L$49</f>
        <v>0</v>
      </c>
      <c r="M20" s="20">
        <f>'TE BE'!$M$20*'TE BF'!$M$49</f>
        <v>0</v>
      </c>
      <c r="N20" s="20">
        <f>'TE BE'!$N$20*'TE BF'!$N$49</f>
        <v>0</v>
      </c>
      <c r="O20" s="20">
        <f>'TE BE'!$O$20*'TE BF'!$O$49</f>
        <v>0</v>
      </c>
      <c r="P20" s="20">
        <f>'TE BE'!$P$20*'TE BF'!$P$49</f>
        <v>0</v>
      </c>
      <c r="Q20" s="20">
        <f>SUM($L$20:$P$20)</f>
        <v>0</v>
      </c>
      <c r="R20" s="20">
        <f>'TE BE'!$R$20*'TE BF'!$R$49</f>
        <v>0</v>
      </c>
      <c r="S20" s="20">
        <f>SUM($R$20:$R$20)</f>
        <v>0</v>
      </c>
      <c r="T20" s="20">
        <f>'TE BE'!$T$20*'TE BF'!$T$49</f>
        <v>0</v>
      </c>
      <c r="U20" s="20">
        <f>'TE BE'!$U$20*'TE BF'!$U$49</f>
        <v>0</v>
      </c>
      <c r="V20" s="20">
        <f>'TE BE'!$V$20*'TE BF'!$V$49</f>
        <v>0</v>
      </c>
      <c r="W20" s="20">
        <f>SUM($T$20:$V$20)</f>
        <v>0</v>
      </c>
      <c r="X20" s="20">
        <f>'TE BE'!$AB$20*'TE BF'!$X$49</f>
        <v>0</v>
      </c>
      <c r="Y20" s="20">
        <f>SUM($X$20:$X$20)</f>
        <v>0</v>
      </c>
      <c r="Z20" s="20">
        <f>'TE BE'!$Z$20*'TE BF'!$Z$49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3">
      <c r="A21" s="99" t="s">
        <v>43</v>
      </c>
      <c r="B21" s="99" t="s">
        <v>69</v>
      </c>
      <c r="C21" s="99" t="s">
        <v>44</v>
      </c>
      <c r="D21" s="99" t="s">
        <v>25</v>
      </c>
      <c r="E21" s="99" t="s">
        <v>25</v>
      </c>
      <c r="F21" s="99" t="s">
        <v>25</v>
      </c>
      <c r="G21" s="23" t="s">
        <v>71</v>
      </c>
      <c r="H21" s="23" t="s">
        <v>70</v>
      </c>
      <c r="I21" s="23">
        <f>'MERCADO TE'!$U$18</f>
        <v>0</v>
      </c>
      <c r="J21" s="15"/>
      <c r="L21" s="20">
        <f>'TE BE'!$L$21*'TE BF'!$L$49</f>
        <v>0</v>
      </c>
      <c r="M21" s="20">
        <f>'TE BE'!$M$21*'TE BF'!$M$49</f>
        <v>0</v>
      </c>
      <c r="N21" s="20">
        <f>'TE BE'!$N$21*'TE BF'!$N$49</f>
        <v>0</v>
      </c>
      <c r="O21" s="20">
        <f>'TE BE'!$O$21*'TE BF'!$O$49</f>
        <v>0</v>
      </c>
      <c r="P21" s="20">
        <f>'TE BE'!$P$21*'TE BF'!$P$49</f>
        <v>0</v>
      </c>
      <c r="Q21" s="20">
        <f>SUM($L$21:$P$21)</f>
        <v>0</v>
      </c>
      <c r="R21" s="20">
        <f>'TE BE'!$R$21*'TE BF'!$R$49</f>
        <v>0</v>
      </c>
      <c r="S21" s="20">
        <f>SUM($R$21:$R$21)</f>
        <v>0</v>
      </c>
      <c r="T21" s="20">
        <f>'TE BE'!$T$21*'TE BF'!$T$49</f>
        <v>0</v>
      </c>
      <c r="U21" s="20">
        <f>'TE BE'!$U$21*'TE BF'!$U$49</f>
        <v>0</v>
      </c>
      <c r="V21" s="20">
        <f>'TE BE'!$V$21*'TE BF'!$V$49</f>
        <v>0</v>
      </c>
      <c r="W21" s="20">
        <f>SUM($T$21:$V$21)</f>
        <v>0</v>
      </c>
      <c r="X21" s="20">
        <f>'TE BE'!$AB$21*'TE BF'!$X$49</f>
        <v>0</v>
      </c>
      <c r="Y21" s="20">
        <f>SUM($X$21:$X$21)</f>
        <v>0</v>
      </c>
      <c r="Z21" s="20">
        <f>'TE BE'!$Z$21*'TE BF'!$Z$49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3">
      <c r="A22" s="99"/>
      <c r="B22" s="99"/>
      <c r="C22" s="99"/>
      <c r="D22" s="99"/>
      <c r="E22" s="99"/>
      <c r="F22" s="99"/>
      <c r="G22" s="23" t="s">
        <v>83</v>
      </c>
      <c r="H22" s="23" t="s">
        <v>70</v>
      </c>
      <c r="I22" s="23">
        <f>'MERCADO TE'!$U$19</f>
        <v>0</v>
      </c>
      <c r="J22" s="15"/>
      <c r="L22" s="20">
        <f>'TE BE'!$L$22*'TE BF'!$L$49</f>
        <v>0</v>
      </c>
      <c r="M22" s="20">
        <f>'TE BE'!$M$22*'TE BF'!$M$49</f>
        <v>0</v>
      </c>
      <c r="N22" s="20">
        <f>'TE BE'!$N$22*'TE BF'!$N$49</f>
        <v>0</v>
      </c>
      <c r="O22" s="20">
        <f>'TE BE'!$O$22*'TE BF'!$O$49</f>
        <v>0</v>
      </c>
      <c r="P22" s="20">
        <f>'TE BE'!$P$22*'TE BF'!$P$49</f>
        <v>0</v>
      </c>
      <c r="Q22" s="20">
        <f>SUM($L$22:$P$22)</f>
        <v>0</v>
      </c>
      <c r="R22" s="20">
        <f>'TE BE'!$R$22*'TE BF'!$R$49</f>
        <v>0</v>
      </c>
      <c r="S22" s="20">
        <f>SUM($R$22:$R$22)</f>
        <v>0</v>
      </c>
      <c r="T22" s="20">
        <f>'TE BE'!$T$22*'TE BF'!$T$49</f>
        <v>0</v>
      </c>
      <c r="U22" s="20">
        <f>'TE BE'!$U$22*'TE BF'!$U$49</f>
        <v>0</v>
      </c>
      <c r="V22" s="20">
        <f>'TE BE'!$V$22*'TE BF'!$V$49</f>
        <v>0</v>
      </c>
      <c r="W22" s="20">
        <f>SUM($T$22:$V$22)</f>
        <v>0</v>
      </c>
      <c r="X22" s="20">
        <f>'TE BE'!$AB$22*'TE BF'!$X$49</f>
        <v>0</v>
      </c>
      <c r="Y22" s="20">
        <f>SUM($X$22:$X$22)</f>
        <v>0</v>
      </c>
      <c r="Z22" s="20">
        <f>'TE BE'!$Z$22*'TE BF'!$Z$49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3">
      <c r="A23" s="99"/>
      <c r="B23" s="99"/>
      <c r="C23" s="99"/>
      <c r="D23" s="99"/>
      <c r="E23" s="99"/>
      <c r="F23" s="99"/>
      <c r="G23" s="23" t="s">
        <v>72</v>
      </c>
      <c r="H23" s="23" t="s">
        <v>70</v>
      </c>
      <c r="I23" s="23">
        <f>'MERCADO TE'!$U$20</f>
        <v>0</v>
      </c>
      <c r="J23" s="15"/>
      <c r="L23" s="20">
        <f>'TE BE'!$L$23*'TE BF'!$L$49</f>
        <v>0</v>
      </c>
      <c r="M23" s="20">
        <f>'TE BE'!$M$23*'TE BF'!$M$49</f>
        <v>0</v>
      </c>
      <c r="N23" s="20">
        <f>'TE BE'!$N$23*'TE BF'!$N$49</f>
        <v>0</v>
      </c>
      <c r="O23" s="20">
        <f>'TE BE'!$O$23*'TE BF'!$O$49</f>
        <v>0</v>
      </c>
      <c r="P23" s="20">
        <f>'TE BE'!$P$23*'TE BF'!$P$49</f>
        <v>0</v>
      </c>
      <c r="Q23" s="20">
        <f>SUM($L$23:$P$23)</f>
        <v>0</v>
      </c>
      <c r="R23" s="20">
        <f>'TE BE'!$R$23*'TE BF'!$R$49</f>
        <v>0</v>
      </c>
      <c r="S23" s="20">
        <f>SUM($R$23:$R$23)</f>
        <v>0</v>
      </c>
      <c r="T23" s="20">
        <f>'TE BE'!$T$23*'TE BF'!$T$49</f>
        <v>0</v>
      </c>
      <c r="U23" s="20">
        <f>'TE BE'!$U$23*'TE BF'!$U$49</f>
        <v>0</v>
      </c>
      <c r="V23" s="20">
        <f>'TE BE'!$V$23*'TE BF'!$V$49</f>
        <v>0</v>
      </c>
      <c r="W23" s="20">
        <f>SUM($T$23:$V$23)</f>
        <v>0</v>
      </c>
      <c r="X23" s="20">
        <f>'TE BE'!$AB$23*'TE BF'!$X$49</f>
        <v>0</v>
      </c>
      <c r="Y23" s="20">
        <f>SUM($X$23:$X$23)</f>
        <v>0</v>
      </c>
      <c r="Z23" s="20">
        <f>'TE BE'!$Z$23*'TE BF'!$Z$49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3">
      <c r="A24" s="99"/>
      <c r="B24" s="22" t="s">
        <v>73</v>
      </c>
      <c r="C24" s="22" t="s">
        <v>44</v>
      </c>
      <c r="D24" s="22" t="s">
        <v>25</v>
      </c>
      <c r="E24" s="22" t="s">
        <v>25</v>
      </c>
      <c r="F24" s="22" t="s">
        <v>25</v>
      </c>
      <c r="G24" s="23" t="s">
        <v>74</v>
      </c>
      <c r="H24" s="23" t="s">
        <v>70</v>
      </c>
      <c r="I24" s="23">
        <f>'MERCADO TE'!$U$21</f>
        <v>19400.674999999996</v>
      </c>
      <c r="J24" s="15"/>
      <c r="L24" s="20">
        <f>'TE BE'!$L$24*'TE BF'!$L$49</f>
        <v>0</v>
      </c>
      <c r="M24" s="20">
        <f>'TE BE'!$M$24*'TE BF'!$M$49</f>
        <v>0</v>
      </c>
      <c r="N24" s="20">
        <f>'TE BE'!$N$24*'TE BF'!$N$49</f>
        <v>0</v>
      </c>
      <c r="O24" s="20">
        <f>'TE BE'!$O$24*'TE BF'!$O$49</f>
        <v>0</v>
      </c>
      <c r="P24" s="20">
        <f>'TE BE'!$P$24*'TE BF'!$P$49</f>
        <v>0</v>
      </c>
      <c r="Q24" s="20">
        <f>SUM($L$24:$P$24)</f>
        <v>0</v>
      </c>
      <c r="R24" s="20">
        <f>'TE BE'!$R$24*'TE BF'!$R$49</f>
        <v>0</v>
      </c>
      <c r="S24" s="20">
        <f>SUM($R$24:$R$24)</f>
        <v>0</v>
      </c>
      <c r="T24" s="20">
        <f>'TE BE'!$T$24*'TE BF'!$T$49</f>
        <v>0</v>
      </c>
      <c r="U24" s="20">
        <f>'TE BE'!$U$24*'TE BF'!$U$49</f>
        <v>0</v>
      </c>
      <c r="V24" s="20">
        <f>'TE BE'!$V$24*'TE BF'!$V$49</f>
        <v>0</v>
      </c>
      <c r="W24" s="20">
        <f>SUM($T$24:$V$24)</f>
        <v>0</v>
      </c>
      <c r="X24" s="20">
        <f>'TE BE'!$AB$24*'TE BF'!$X$49</f>
        <v>0</v>
      </c>
      <c r="Y24" s="20">
        <f>SUM($X$24:$X$24)</f>
        <v>0</v>
      </c>
      <c r="Z24" s="20">
        <f>'TE BE'!$Z$24*'TE BF'!$Z$49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3">
      <c r="A25" s="99"/>
      <c r="B25" s="99" t="s">
        <v>69</v>
      </c>
      <c r="C25" s="99" t="s">
        <v>44</v>
      </c>
      <c r="D25" s="99" t="s">
        <v>86</v>
      </c>
      <c r="E25" s="99" t="s">
        <v>25</v>
      </c>
      <c r="F25" s="99" t="s">
        <v>25</v>
      </c>
      <c r="G25" s="23" t="s">
        <v>71</v>
      </c>
      <c r="H25" s="23" t="s">
        <v>70</v>
      </c>
      <c r="I25" s="23">
        <f>'MERCADO TE'!$U$22</f>
        <v>0</v>
      </c>
      <c r="J25" s="15"/>
      <c r="L25" s="20">
        <f>'TE BE'!$L$25*'TE BF'!$L$49</f>
        <v>0</v>
      </c>
      <c r="M25" s="20">
        <f>'TE BE'!$M$25*'TE BF'!$M$49</f>
        <v>0</v>
      </c>
      <c r="N25" s="20">
        <f>'TE BE'!$N$25*'TE BF'!$N$49</f>
        <v>0</v>
      </c>
      <c r="O25" s="20">
        <f>'TE BE'!$O$25*'TE BF'!$O$49</f>
        <v>0</v>
      </c>
      <c r="P25" s="20">
        <f>'TE BE'!$P$25*'TE BF'!$P$49</f>
        <v>0</v>
      </c>
      <c r="Q25" s="20">
        <f>SUM($L$25:$P$25)</f>
        <v>0</v>
      </c>
      <c r="R25" s="20">
        <f>'TE BE'!$R$25*'TE BF'!$R$49</f>
        <v>0</v>
      </c>
      <c r="S25" s="20">
        <f>SUM($R$25:$R$25)</f>
        <v>0</v>
      </c>
      <c r="T25" s="20">
        <f>'TE BE'!$T$25*'TE BF'!$T$49</f>
        <v>0</v>
      </c>
      <c r="U25" s="20">
        <f>'TE BE'!$U$25*'TE BF'!$U$49</f>
        <v>0</v>
      </c>
      <c r="V25" s="20">
        <f>'TE BE'!$V$25*'TE BF'!$V$49</f>
        <v>0</v>
      </c>
      <c r="W25" s="20">
        <f>SUM($T$25:$V$25)</f>
        <v>0</v>
      </c>
      <c r="X25" s="20">
        <f>'TE BE'!$AB$25*'TE BF'!$X$49</f>
        <v>0</v>
      </c>
      <c r="Y25" s="20">
        <f>SUM($X$25:$X$25)</f>
        <v>0</v>
      </c>
      <c r="Z25" s="20">
        <f>'TE BE'!$Z$25*'TE BF'!$Z$49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3">
      <c r="A26" s="99"/>
      <c r="B26" s="99"/>
      <c r="C26" s="99"/>
      <c r="D26" s="99"/>
      <c r="E26" s="99"/>
      <c r="F26" s="99"/>
      <c r="G26" s="23" t="s">
        <v>83</v>
      </c>
      <c r="H26" s="23" t="s">
        <v>70</v>
      </c>
      <c r="I26" s="23">
        <f>'MERCADO TE'!$U$23</f>
        <v>0</v>
      </c>
      <c r="J26" s="15"/>
      <c r="L26" s="20">
        <f>'TE BE'!$L$26*'TE BF'!$L$49</f>
        <v>0</v>
      </c>
      <c r="M26" s="20">
        <f>'TE BE'!$M$26*'TE BF'!$M$49</f>
        <v>0</v>
      </c>
      <c r="N26" s="20">
        <f>'TE BE'!$N$26*'TE BF'!$N$49</f>
        <v>0</v>
      </c>
      <c r="O26" s="20">
        <f>'TE BE'!$O$26*'TE BF'!$O$49</f>
        <v>0</v>
      </c>
      <c r="P26" s="20">
        <f>'TE BE'!$P$26*'TE BF'!$P$49</f>
        <v>0</v>
      </c>
      <c r="Q26" s="20">
        <f>SUM($L$26:$P$26)</f>
        <v>0</v>
      </c>
      <c r="R26" s="20">
        <f>'TE BE'!$R$26*'TE BF'!$R$49</f>
        <v>0</v>
      </c>
      <c r="S26" s="20">
        <f>SUM($R$26:$R$26)</f>
        <v>0</v>
      </c>
      <c r="T26" s="20">
        <f>'TE BE'!$T$26*'TE BF'!$T$49</f>
        <v>0</v>
      </c>
      <c r="U26" s="20">
        <f>'TE BE'!$U$26*'TE BF'!$U$49</f>
        <v>0</v>
      </c>
      <c r="V26" s="20">
        <f>'TE BE'!$V$26*'TE BF'!$V$49</f>
        <v>0</v>
      </c>
      <c r="W26" s="20">
        <f>SUM($T$26:$V$26)</f>
        <v>0</v>
      </c>
      <c r="X26" s="20">
        <f>'TE BE'!$AB$26*'TE BF'!$X$49</f>
        <v>0</v>
      </c>
      <c r="Y26" s="20">
        <f>SUM($X$26:$X$26)</f>
        <v>0</v>
      </c>
      <c r="Z26" s="20">
        <f>'TE BE'!$Z$26*'TE BF'!$Z$49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3">
      <c r="A27" s="99"/>
      <c r="B27" s="99"/>
      <c r="C27" s="99"/>
      <c r="D27" s="99"/>
      <c r="E27" s="99"/>
      <c r="F27" s="99"/>
      <c r="G27" s="23" t="s">
        <v>72</v>
      </c>
      <c r="H27" s="23" t="s">
        <v>70</v>
      </c>
      <c r="I27" s="23">
        <f>'MERCADO TE'!$U$24</f>
        <v>0</v>
      </c>
      <c r="J27" s="15"/>
      <c r="L27" s="20">
        <f>'TE BE'!$L$27*'TE BF'!$L$49</f>
        <v>0</v>
      </c>
      <c r="M27" s="20">
        <f>'TE BE'!$M$27*'TE BF'!$M$49</f>
        <v>0</v>
      </c>
      <c r="N27" s="20">
        <f>'TE BE'!$N$27*'TE BF'!$N$49</f>
        <v>0</v>
      </c>
      <c r="O27" s="20">
        <f>'TE BE'!$O$27*'TE BF'!$O$49</f>
        <v>0</v>
      </c>
      <c r="P27" s="20">
        <f>'TE BE'!$P$27*'TE BF'!$P$49</f>
        <v>0</v>
      </c>
      <c r="Q27" s="20">
        <f>SUM($L$27:$P$27)</f>
        <v>0</v>
      </c>
      <c r="R27" s="20">
        <f>'TE BE'!$R$27*'TE BF'!$R$49</f>
        <v>0</v>
      </c>
      <c r="S27" s="20">
        <f>SUM($R$27:$R$27)</f>
        <v>0</v>
      </c>
      <c r="T27" s="20">
        <f>'TE BE'!$T$27*'TE BF'!$T$49</f>
        <v>0</v>
      </c>
      <c r="U27" s="20">
        <f>'TE BE'!$U$27*'TE BF'!$U$49</f>
        <v>0</v>
      </c>
      <c r="V27" s="20">
        <f>'TE BE'!$V$27*'TE BF'!$V$49</f>
        <v>0</v>
      </c>
      <c r="W27" s="20">
        <f>SUM($T$27:$V$27)</f>
        <v>0</v>
      </c>
      <c r="X27" s="20">
        <f>'TE BE'!$AB$27*'TE BF'!$X$49</f>
        <v>0</v>
      </c>
      <c r="Y27" s="20">
        <f>SUM($X$27:$X$27)</f>
        <v>0</v>
      </c>
      <c r="Z27" s="20">
        <f>'TE BE'!$Z$27*'TE BF'!$Z$49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3">
      <c r="A28" s="99"/>
      <c r="B28" s="22" t="s">
        <v>73</v>
      </c>
      <c r="C28" s="22" t="s">
        <v>44</v>
      </c>
      <c r="D28" s="22" t="s">
        <v>86</v>
      </c>
      <c r="E28" s="22" t="s">
        <v>25</v>
      </c>
      <c r="F28" s="22" t="s">
        <v>25</v>
      </c>
      <c r="G28" s="23" t="s">
        <v>74</v>
      </c>
      <c r="H28" s="23" t="s">
        <v>70</v>
      </c>
      <c r="I28" s="23">
        <f>'MERCADO TE'!$U$25</f>
        <v>0</v>
      </c>
      <c r="J28" s="15"/>
      <c r="L28" s="20">
        <f>'TE BE'!$L$28*'TE BF'!$L$49</f>
        <v>0</v>
      </c>
      <c r="M28" s="20">
        <f>'TE BE'!$M$28*'TE BF'!$M$49</f>
        <v>0</v>
      </c>
      <c r="N28" s="20">
        <f>'TE BE'!$N$28*'TE BF'!$N$49</f>
        <v>0</v>
      </c>
      <c r="O28" s="20">
        <f>'TE BE'!$O$28*'TE BF'!$O$49</f>
        <v>0</v>
      </c>
      <c r="P28" s="20">
        <f>'TE BE'!$P$28*'TE BF'!$P$49</f>
        <v>0</v>
      </c>
      <c r="Q28" s="20">
        <f>SUM($L$28:$P$28)</f>
        <v>0</v>
      </c>
      <c r="R28" s="20">
        <f>'TE BE'!$R$28*'TE BF'!$R$49</f>
        <v>0</v>
      </c>
      <c r="S28" s="20">
        <f>SUM($R$28:$R$28)</f>
        <v>0</v>
      </c>
      <c r="T28" s="20">
        <f>'TE BE'!$T$28*'TE BF'!$T$49</f>
        <v>0</v>
      </c>
      <c r="U28" s="20">
        <f>'TE BE'!$U$28*'TE BF'!$U$49</f>
        <v>0</v>
      </c>
      <c r="V28" s="20">
        <f>'TE BE'!$V$28*'TE BF'!$V$49</f>
        <v>0</v>
      </c>
      <c r="W28" s="20">
        <f>SUM($T$28:$V$28)</f>
        <v>0</v>
      </c>
      <c r="X28" s="20">
        <f>'TE BE'!$AB$28*'TE BF'!$X$49</f>
        <v>0</v>
      </c>
      <c r="Y28" s="20">
        <f>SUM($X$28:$X$28)</f>
        <v>0</v>
      </c>
      <c r="Z28" s="20">
        <f>'TE BE'!$Z$28*'TE BF'!$Z$49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3">
      <c r="A29" s="99"/>
      <c r="B29" s="99" t="s">
        <v>69</v>
      </c>
      <c r="C29" s="99" t="s">
        <v>44</v>
      </c>
      <c r="D29" s="99" t="s">
        <v>87</v>
      </c>
      <c r="E29" s="99" t="s">
        <v>25</v>
      </c>
      <c r="F29" s="99" t="s">
        <v>25</v>
      </c>
      <c r="G29" s="23" t="s">
        <v>71</v>
      </c>
      <c r="H29" s="23" t="s">
        <v>70</v>
      </c>
      <c r="I29" s="23">
        <f>'MERCADO TE'!$U$26</f>
        <v>0</v>
      </c>
      <c r="J29" s="15"/>
      <c r="L29" s="20">
        <f>'TE BE'!$L$29*'TE BF'!$L$49</f>
        <v>0</v>
      </c>
      <c r="M29" s="20">
        <f>'TE BE'!$M$29*'TE BF'!$M$49</f>
        <v>0</v>
      </c>
      <c r="N29" s="20">
        <f>'TE BE'!$N$29*'TE BF'!$N$49</f>
        <v>0</v>
      </c>
      <c r="O29" s="20">
        <f>'TE BE'!$O$29*'TE BF'!$O$49</f>
        <v>0</v>
      </c>
      <c r="P29" s="20">
        <f>'TE BE'!$P$29*'TE BF'!$P$49</f>
        <v>0</v>
      </c>
      <c r="Q29" s="20">
        <f>SUM($L$29:$P$29)</f>
        <v>0</v>
      </c>
      <c r="R29" s="20">
        <f>'TE BE'!$R$29*'TE BF'!$R$49</f>
        <v>0</v>
      </c>
      <c r="S29" s="20">
        <f>SUM($R$29:$R$29)</f>
        <v>0</v>
      </c>
      <c r="T29" s="20">
        <f>'TE BE'!$T$29*'TE BF'!$T$49</f>
        <v>0</v>
      </c>
      <c r="U29" s="20">
        <f>'TE BE'!$U$29*'TE BF'!$U$49</f>
        <v>0</v>
      </c>
      <c r="V29" s="20">
        <f>'TE BE'!$V$29*'TE BF'!$V$49</f>
        <v>0</v>
      </c>
      <c r="W29" s="20">
        <f>SUM($T$29:$V$29)</f>
        <v>0</v>
      </c>
      <c r="X29" s="20">
        <f>'TE BE'!$AB$29*'TE BF'!$X$49</f>
        <v>0</v>
      </c>
      <c r="Y29" s="20">
        <f>SUM($X$29:$X$29)</f>
        <v>0</v>
      </c>
      <c r="Z29" s="20">
        <f>'TE BE'!$Z$29*'TE BF'!$Z$49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3">
      <c r="A30" s="99"/>
      <c r="B30" s="99"/>
      <c r="C30" s="99"/>
      <c r="D30" s="99"/>
      <c r="E30" s="99"/>
      <c r="F30" s="99"/>
      <c r="G30" s="23" t="s">
        <v>83</v>
      </c>
      <c r="H30" s="23" t="s">
        <v>70</v>
      </c>
      <c r="I30" s="23">
        <f>'MERCADO TE'!$U$27</f>
        <v>0</v>
      </c>
      <c r="J30" s="15"/>
      <c r="L30" s="20">
        <f>'TE BE'!$L$30*'TE BF'!$L$49</f>
        <v>0</v>
      </c>
      <c r="M30" s="20">
        <f>'TE BE'!$M$30*'TE BF'!$M$49</f>
        <v>0</v>
      </c>
      <c r="N30" s="20">
        <f>'TE BE'!$N$30*'TE BF'!$N$49</f>
        <v>0</v>
      </c>
      <c r="O30" s="20">
        <f>'TE BE'!$O$30*'TE BF'!$O$49</f>
        <v>0</v>
      </c>
      <c r="P30" s="20">
        <f>'TE BE'!$P$30*'TE BF'!$P$49</f>
        <v>0</v>
      </c>
      <c r="Q30" s="20">
        <f>SUM($L$30:$P$30)</f>
        <v>0</v>
      </c>
      <c r="R30" s="20">
        <f>'TE BE'!$R$30*'TE BF'!$R$49</f>
        <v>0</v>
      </c>
      <c r="S30" s="20">
        <f>SUM($R$30:$R$30)</f>
        <v>0</v>
      </c>
      <c r="T30" s="20">
        <f>'TE BE'!$T$30*'TE BF'!$T$49</f>
        <v>0</v>
      </c>
      <c r="U30" s="20">
        <f>'TE BE'!$U$30*'TE BF'!$U$49</f>
        <v>0</v>
      </c>
      <c r="V30" s="20">
        <f>'TE BE'!$V$30*'TE BF'!$V$49</f>
        <v>0</v>
      </c>
      <c r="W30" s="20">
        <f>SUM($T$30:$V$30)</f>
        <v>0</v>
      </c>
      <c r="X30" s="20">
        <f>'TE BE'!$AB$30*'TE BF'!$X$49</f>
        <v>0</v>
      </c>
      <c r="Y30" s="20">
        <f>SUM($X$30:$X$30)</f>
        <v>0</v>
      </c>
      <c r="Z30" s="20">
        <f>'TE BE'!$Z$30*'TE BF'!$Z$49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3">
      <c r="A31" s="99"/>
      <c r="B31" s="99"/>
      <c r="C31" s="99"/>
      <c r="D31" s="99"/>
      <c r="E31" s="99"/>
      <c r="F31" s="99"/>
      <c r="G31" s="23" t="s">
        <v>72</v>
      </c>
      <c r="H31" s="23" t="s">
        <v>70</v>
      </c>
      <c r="I31" s="23">
        <f>'MERCADO TE'!$U$28</f>
        <v>0</v>
      </c>
      <c r="J31" s="15"/>
      <c r="L31" s="20">
        <f>'TE BE'!$L$31*'TE BF'!$L$49</f>
        <v>0</v>
      </c>
      <c r="M31" s="20">
        <f>'TE BE'!$M$31*'TE BF'!$M$49</f>
        <v>0</v>
      </c>
      <c r="N31" s="20">
        <f>'TE BE'!$N$31*'TE BF'!$N$49</f>
        <v>0</v>
      </c>
      <c r="O31" s="20">
        <f>'TE BE'!$O$31*'TE BF'!$O$49</f>
        <v>0</v>
      </c>
      <c r="P31" s="20">
        <f>'TE BE'!$P$31*'TE BF'!$P$49</f>
        <v>0</v>
      </c>
      <c r="Q31" s="20">
        <f>SUM($L$31:$P$31)</f>
        <v>0</v>
      </c>
      <c r="R31" s="20">
        <f>'TE BE'!$R$31*'TE BF'!$R$49</f>
        <v>0</v>
      </c>
      <c r="S31" s="20">
        <f>SUM($R$31:$R$31)</f>
        <v>0</v>
      </c>
      <c r="T31" s="20">
        <f>'TE BE'!$T$31*'TE BF'!$T$49</f>
        <v>0</v>
      </c>
      <c r="U31" s="20">
        <f>'TE BE'!$U$31*'TE BF'!$U$49</f>
        <v>0</v>
      </c>
      <c r="V31" s="20">
        <f>'TE BE'!$V$31*'TE BF'!$V$49</f>
        <v>0</v>
      </c>
      <c r="W31" s="20">
        <f>SUM($T$31:$V$31)</f>
        <v>0</v>
      </c>
      <c r="X31" s="20">
        <f>'TE BE'!$AB$31*'TE BF'!$X$49</f>
        <v>0</v>
      </c>
      <c r="Y31" s="20">
        <f>SUM($X$31:$X$31)</f>
        <v>0</v>
      </c>
      <c r="Z31" s="20">
        <f>'TE BE'!$Z$31*'TE BF'!$Z$49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3">
      <c r="A32" s="99"/>
      <c r="B32" s="22" t="s">
        <v>73</v>
      </c>
      <c r="C32" s="22" t="s">
        <v>44</v>
      </c>
      <c r="D32" s="22" t="s">
        <v>87</v>
      </c>
      <c r="E32" s="22" t="s">
        <v>25</v>
      </c>
      <c r="F32" s="22" t="s">
        <v>25</v>
      </c>
      <c r="G32" s="23" t="s">
        <v>74</v>
      </c>
      <c r="H32" s="23" t="s">
        <v>70</v>
      </c>
      <c r="I32" s="23">
        <f>'MERCADO TE'!$U$29</f>
        <v>0</v>
      </c>
      <c r="J32" s="15"/>
      <c r="L32" s="20">
        <f>'TE BE'!$L$32*'TE BF'!$L$49</f>
        <v>0</v>
      </c>
      <c r="M32" s="20">
        <f>'TE BE'!$M$32*'TE BF'!$M$49</f>
        <v>0</v>
      </c>
      <c r="N32" s="20">
        <f>'TE BE'!$N$32*'TE BF'!$N$49</f>
        <v>0</v>
      </c>
      <c r="O32" s="20">
        <f>'TE BE'!$O$32*'TE BF'!$O$49</f>
        <v>0</v>
      </c>
      <c r="P32" s="20">
        <f>'TE BE'!$P$32*'TE BF'!$P$49</f>
        <v>0</v>
      </c>
      <c r="Q32" s="20">
        <f>SUM($L$32:$P$32)</f>
        <v>0</v>
      </c>
      <c r="R32" s="20">
        <f>'TE BE'!$R$32*'TE BF'!$R$49</f>
        <v>0</v>
      </c>
      <c r="S32" s="20">
        <f>SUM($R$32:$R$32)</f>
        <v>0</v>
      </c>
      <c r="T32" s="20">
        <f>'TE BE'!$T$32*'TE BF'!$T$49</f>
        <v>0</v>
      </c>
      <c r="U32" s="20">
        <f>'TE BE'!$U$32*'TE BF'!$U$49</f>
        <v>0</v>
      </c>
      <c r="V32" s="20">
        <f>'TE BE'!$V$32*'TE BF'!$V$49</f>
        <v>0</v>
      </c>
      <c r="W32" s="20">
        <f>SUM($T$32:$V$32)</f>
        <v>0</v>
      </c>
      <c r="X32" s="20">
        <f>'TE BE'!$AB$32*'TE BF'!$X$49</f>
        <v>0</v>
      </c>
      <c r="Y32" s="20">
        <f>SUM($X$32:$X$32)</f>
        <v>0</v>
      </c>
      <c r="Z32" s="20">
        <f>'TE BE'!$Z$32*'TE BF'!$Z$49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3">
      <c r="A33" s="99"/>
      <c r="B33" s="99" t="s">
        <v>84</v>
      </c>
      <c r="C33" s="99" t="s">
        <v>44</v>
      </c>
      <c r="D33" s="22" t="s">
        <v>25</v>
      </c>
      <c r="E33" s="22" t="s">
        <v>25</v>
      </c>
      <c r="F33" s="22" t="s">
        <v>25</v>
      </c>
      <c r="G33" s="23" t="s">
        <v>74</v>
      </c>
      <c r="H33" s="23" t="s">
        <v>70</v>
      </c>
      <c r="I33" s="23">
        <f>'MERCADO TE'!$U$30</f>
        <v>0</v>
      </c>
      <c r="J33" s="15"/>
      <c r="L33" s="20">
        <f>'TE BE'!$L$33*'TE BF'!$L$49</f>
        <v>0</v>
      </c>
      <c r="M33" s="20">
        <f>'TE BE'!$M$33*'TE BF'!$M$49</f>
        <v>0</v>
      </c>
      <c r="N33" s="20">
        <f>'TE BE'!$N$33*'TE BF'!$N$49</f>
        <v>0</v>
      </c>
      <c r="O33" s="20">
        <f>'TE BE'!$O$33*'TE BF'!$O$49</f>
        <v>0</v>
      </c>
      <c r="P33" s="20">
        <f>'TE BE'!$P$33*'TE BF'!$P$49</f>
        <v>0</v>
      </c>
      <c r="Q33" s="20">
        <f>SUM($L$33:$P$33)</f>
        <v>0</v>
      </c>
      <c r="R33" s="20">
        <f>'TE BE'!$R$33*'TE BF'!$R$49</f>
        <v>0</v>
      </c>
      <c r="S33" s="20">
        <f>SUM($R$33:$R$33)</f>
        <v>0</v>
      </c>
      <c r="T33" s="20">
        <f>'TE BE'!$T$33*'TE BF'!$T$49</f>
        <v>0</v>
      </c>
      <c r="U33" s="20">
        <f>'TE BE'!$U$33*'TE BF'!$U$49</f>
        <v>0</v>
      </c>
      <c r="V33" s="20">
        <f>'TE BE'!$V$33*'TE BF'!$V$49</f>
        <v>0</v>
      </c>
      <c r="W33" s="20">
        <f>SUM($T$33:$V$33)</f>
        <v>0</v>
      </c>
      <c r="X33" s="20">
        <f>'TE BE'!$AB$33*'TE BF'!$X$49</f>
        <v>0</v>
      </c>
      <c r="Y33" s="20">
        <f>SUM($X$33:$X$33)</f>
        <v>0</v>
      </c>
      <c r="Z33" s="20">
        <f>'TE BE'!$Z$33*'TE BF'!$Z$49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3">
      <c r="A34" s="99"/>
      <c r="B34" s="99"/>
      <c r="C34" s="99"/>
      <c r="D34" s="22" t="s">
        <v>86</v>
      </c>
      <c r="E34" s="22" t="s">
        <v>25</v>
      </c>
      <c r="F34" s="22" t="s">
        <v>25</v>
      </c>
      <c r="G34" s="23" t="s">
        <v>74</v>
      </c>
      <c r="H34" s="23" t="s">
        <v>70</v>
      </c>
      <c r="I34" s="23">
        <f>'MERCADO TE'!$U$31</f>
        <v>0</v>
      </c>
      <c r="J34" s="15"/>
      <c r="L34" s="20">
        <f>'TE BE'!$L$34*'TE BF'!$L$49</f>
        <v>0</v>
      </c>
      <c r="M34" s="20">
        <f>'TE BE'!$M$34*'TE BF'!$M$49</f>
        <v>0</v>
      </c>
      <c r="N34" s="20">
        <f>'TE BE'!$N$34*'TE BF'!$N$49</f>
        <v>0</v>
      </c>
      <c r="O34" s="20">
        <f>'TE BE'!$O$34*'TE BF'!$O$49</f>
        <v>0</v>
      </c>
      <c r="P34" s="20">
        <f>'TE BE'!$P$34*'TE BF'!$P$49</f>
        <v>0</v>
      </c>
      <c r="Q34" s="20">
        <f>SUM($L$34:$P$34)</f>
        <v>0</v>
      </c>
      <c r="R34" s="20">
        <f>'TE BE'!$R$34*'TE BF'!$R$49</f>
        <v>0</v>
      </c>
      <c r="S34" s="20">
        <f>SUM($R$34:$R$34)</f>
        <v>0</v>
      </c>
      <c r="T34" s="20">
        <f>'TE BE'!$T$34*'TE BF'!$T$49</f>
        <v>0</v>
      </c>
      <c r="U34" s="20">
        <f>'TE BE'!$U$34*'TE BF'!$U$49</f>
        <v>0</v>
      </c>
      <c r="V34" s="20">
        <f>'TE BE'!$V$34*'TE BF'!$V$49</f>
        <v>0</v>
      </c>
      <c r="W34" s="20">
        <f>SUM($T$34:$V$34)</f>
        <v>0</v>
      </c>
      <c r="X34" s="20">
        <f>'TE BE'!$AB$34*'TE BF'!$X$49</f>
        <v>0</v>
      </c>
      <c r="Y34" s="20">
        <f>SUM($X$34:$X$34)</f>
        <v>0</v>
      </c>
      <c r="Z34" s="20">
        <f>'TE BE'!$Z$34*'TE BF'!$Z$49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3">
      <c r="A35" s="99"/>
      <c r="B35" s="99"/>
      <c r="C35" s="99"/>
      <c r="D35" s="22" t="s">
        <v>87</v>
      </c>
      <c r="E35" s="22" t="s">
        <v>25</v>
      </c>
      <c r="F35" s="22" t="s">
        <v>25</v>
      </c>
      <c r="G35" s="23" t="s">
        <v>74</v>
      </c>
      <c r="H35" s="23" t="s">
        <v>70</v>
      </c>
      <c r="I35" s="23">
        <f>'MERCADO TE'!$U$32</f>
        <v>0</v>
      </c>
      <c r="J35" s="15"/>
      <c r="L35" s="20">
        <f>'TE BE'!$L$35*'TE BF'!$L$49</f>
        <v>0</v>
      </c>
      <c r="M35" s="20">
        <f>'TE BE'!$M$35*'TE BF'!$M$49</f>
        <v>0</v>
      </c>
      <c r="N35" s="20">
        <f>'TE BE'!$N$35*'TE BF'!$N$49</f>
        <v>0</v>
      </c>
      <c r="O35" s="20">
        <f>'TE BE'!$O$35*'TE BF'!$O$49</f>
        <v>0</v>
      </c>
      <c r="P35" s="20">
        <f>'TE BE'!$P$35*'TE BF'!$P$49</f>
        <v>0</v>
      </c>
      <c r="Q35" s="20">
        <f>SUM($L$35:$P$35)</f>
        <v>0</v>
      </c>
      <c r="R35" s="20">
        <f>'TE BE'!$R$35*'TE BF'!$R$49</f>
        <v>0</v>
      </c>
      <c r="S35" s="20">
        <f>SUM($R$35:$R$35)</f>
        <v>0</v>
      </c>
      <c r="T35" s="20">
        <f>'TE BE'!$T$35*'TE BF'!$T$49</f>
        <v>0</v>
      </c>
      <c r="U35" s="20">
        <f>'TE BE'!$U$35*'TE BF'!$U$49</f>
        <v>0</v>
      </c>
      <c r="V35" s="20">
        <f>'TE BE'!$V$35*'TE BF'!$V$49</f>
        <v>0</v>
      </c>
      <c r="W35" s="20">
        <f>SUM($T$35:$V$35)</f>
        <v>0</v>
      </c>
      <c r="X35" s="20">
        <f>'TE BE'!$AB$35*'TE BF'!$X$49</f>
        <v>0</v>
      </c>
      <c r="Y35" s="20">
        <f>SUM($X$35:$X$35)</f>
        <v>0</v>
      </c>
      <c r="Z35" s="20">
        <f>'TE BE'!$Z$35*'TE BF'!$Z$49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3">
      <c r="A36" s="99" t="s">
        <v>35</v>
      </c>
      <c r="B36" s="99" t="s">
        <v>69</v>
      </c>
      <c r="C36" s="99" t="s">
        <v>25</v>
      </c>
      <c r="D36" s="99" t="s">
        <v>25</v>
      </c>
      <c r="E36" s="99" t="s">
        <v>25</v>
      </c>
      <c r="F36" s="99" t="s">
        <v>25</v>
      </c>
      <c r="G36" s="23" t="s">
        <v>71</v>
      </c>
      <c r="H36" s="23" t="s">
        <v>70</v>
      </c>
      <c r="I36" s="23">
        <f>'MERCADO TE'!$U$33</f>
        <v>0.746</v>
      </c>
      <c r="J36" s="15"/>
      <c r="L36" s="20">
        <f>'TE BE'!$L$36*'TE BF'!$L$49</f>
        <v>0</v>
      </c>
      <c r="M36" s="20">
        <f>'TE BE'!$M$36*'TE BF'!$M$49</f>
        <v>0</v>
      </c>
      <c r="N36" s="20">
        <f>'TE BE'!$N$36*'TE BF'!$N$49</f>
        <v>0</v>
      </c>
      <c r="O36" s="20">
        <f>'TE BE'!$O$36*'TE BF'!$O$49</f>
        <v>0</v>
      </c>
      <c r="P36" s="20">
        <f>'TE BE'!$P$36*'TE BF'!$P$49</f>
        <v>0</v>
      </c>
      <c r="Q36" s="20">
        <f>SUM($L$36:$P$36)</f>
        <v>0</v>
      </c>
      <c r="R36" s="20">
        <f>'TE BE'!$R$36*'TE BF'!$R$49</f>
        <v>0</v>
      </c>
      <c r="S36" s="20">
        <f>SUM($R$36:$R$36)</f>
        <v>0</v>
      </c>
      <c r="T36" s="20">
        <f>'TE BE'!$T$36*'TE BF'!$T$49</f>
        <v>0</v>
      </c>
      <c r="U36" s="20">
        <f>'TE BE'!$U$36*'TE BF'!$U$49</f>
        <v>0</v>
      </c>
      <c r="V36" s="20">
        <f>'TE BE'!$V$36*'TE BF'!$V$49</f>
        <v>0</v>
      </c>
      <c r="W36" s="20">
        <f>SUM($T$36:$V$36)</f>
        <v>0</v>
      </c>
      <c r="X36" s="20">
        <f>'TE BE'!$AB$36*'TE BF'!$X$49</f>
        <v>0</v>
      </c>
      <c r="Y36" s="20">
        <f>SUM($X$36:$X$36)</f>
        <v>0</v>
      </c>
      <c r="Z36" s="20">
        <f>'TE BE'!$Z$36*'TE BF'!$Z$49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3">
      <c r="A37" s="99"/>
      <c r="B37" s="99"/>
      <c r="C37" s="99"/>
      <c r="D37" s="99"/>
      <c r="E37" s="99"/>
      <c r="F37" s="99"/>
      <c r="G37" s="23" t="s">
        <v>83</v>
      </c>
      <c r="H37" s="23" t="s">
        <v>70</v>
      </c>
      <c r="I37" s="23">
        <f>'MERCADO TE'!$U$34</f>
        <v>0.45699999999999996</v>
      </c>
      <c r="J37" s="15"/>
      <c r="L37" s="20">
        <f>'TE BE'!$L$37*'TE BF'!$L$49</f>
        <v>0</v>
      </c>
      <c r="M37" s="20">
        <f>'TE BE'!$M$37*'TE BF'!$M$49</f>
        <v>0</v>
      </c>
      <c r="N37" s="20">
        <f>'TE BE'!$N$37*'TE BF'!$N$49</f>
        <v>0</v>
      </c>
      <c r="O37" s="20">
        <f>'TE BE'!$O$37*'TE BF'!$O$49</f>
        <v>0</v>
      </c>
      <c r="P37" s="20">
        <f>'TE BE'!$P$37*'TE BF'!$P$49</f>
        <v>0</v>
      </c>
      <c r="Q37" s="20">
        <f>SUM($L$37:$P$37)</f>
        <v>0</v>
      </c>
      <c r="R37" s="20">
        <f>'TE BE'!$R$37*'TE BF'!$R$49</f>
        <v>0</v>
      </c>
      <c r="S37" s="20">
        <f>SUM($R$37:$R$37)</f>
        <v>0</v>
      </c>
      <c r="T37" s="20">
        <f>'TE BE'!$T$37*'TE BF'!$T$49</f>
        <v>0</v>
      </c>
      <c r="U37" s="20">
        <f>'TE BE'!$U$37*'TE BF'!$U$49</f>
        <v>0</v>
      </c>
      <c r="V37" s="20">
        <f>'TE BE'!$V$37*'TE BF'!$V$49</f>
        <v>0</v>
      </c>
      <c r="W37" s="20">
        <f>SUM($T$37:$V$37)</f>
        <v>0</v>
      </c>
      <c r="X37" s="20">
        <f>'TE BE'!$AB$37*'TE BF'!$X$49</f>
        <v>0</v>
      </c>
      <c r="Y37" s="20">
        <f>SUM($X$37:$X$37)</f>
        <v>0</v>
      </c>
      <c r="Z37" s="20">
        <f>'TE BE'!$Z$37*'TE BF'!$Z$49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3">
      <c r="A38" s="99"/>
      <c r="B38" s="99"/>
      <c r="C38" s="99"/>
      <c r="D38" s="99"/>
      <c r="E38" s="99"/>
      <c r="F38" s="99"/>
      <c r="G38" s="23" t="s">
        <v>72</v>
      </c>
      <c r="H38" s="23" t="s">
        <v>70</v>
      </c>
      <c r="I38" s="23">
        <f>'MERCADO TE'!$U$35</f>
        <v>6.4780000000000006</v>
      </c>
      <c r="J38" s="15"/>
      <c r="L38" s="20">
        <f>'TE BE'!$L$38*'TE BF'!$L$49</f>
        <v>0</v>
      </c>
      <c r="M38" s="20">
        <f>'TE BE'!$M$38*'TE BF'!$M$49</f>
        <v>0</v>
      </c>
      <c r="N38" s="20">
        <f>'TE BE'!$N$38*'TE BF'!$N$49</f>
        <v>0</v>
      </c>
      <c r="O38" s="20">
        <f>'TE BE'!$O$38*'TE BF'!$O$49</f>
        <v>0</v>
      </c>
      <c r="P38" s="20">
        <f>'TE BE'!$P$38*'TE BF'!$P$49</f>
        <v>0</v>
      </c>
      <c r="Q38" s="20">
        <f>SUM($L$38:$P$38)</f>
        <v>0</v>
      </c>
      <c r="R38" s="20">
        <f>'TE BE'!$R$38*'TE BF'!$R$49</f>
        <v>0</v>
      </c>
      <c r="S38" s="20">
        <f>SUM($R$38:$R$38)</f>
        <v>0</v>
      </c>
      <c r="T38" s="20">
        <f>'TE BE'!$T$38*'TE BF'!$T$49</f>
        <v>0</v>
      </c>
      <c r="U38" s="20">
        <f>'TE BE'!$U$38*'TE BF'!$U$49</f>
        <v>0</v>
      </c>
      <c r="V38" s="20">
        <f>'TE BE'!$V$38*'TE BF'!$V$49</f>
        <v>0</v>
      </c>
      <c r="W38" s="20">
        <f>SUM($T$38:$V$38)</f>
        <v>0</v>
      </c>
      <c r="X38" s="20">
        <f>'TE BE'!$AB$38*'TE BF'!$X$49</f>
        <v>0</v>
      </c>
      <c r="Y38" s="20">
        <f>SUM($X$38:$X$38)</f>
        <v>0</v>
      </c>
      <c r="Z38" s="20">
        <f>'TE BE'!$Z$38*'TE BF'!$Z$49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3">
      <c r="A39" s="99"/>
      <c r="B39" s="22" t="s">
        <v>73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74</v>
      </c>
      <c r="H39" s="23" t="s">
        <v>70</v>
      </c>
      <c r="I39" s="23">
        <f>'MERCADO TE'!$U$36</f>
        <v>2717.4190000000003</v>
      </c>
      <c r="J39" s="15"/>
      <c r="L39" s="20">
        <f>'TE BE'!$L$39*'TE BF'!$L$49</f>
        <v>0</v>
      </c>
      <c r="M39" s="20">
        <f>'TE BE'!$M$39*'TE BF'!$M$49</f>
        <v>0</v>
      </c>
      <c r="N39" s="20">
        <f>'TE BE'!$N$39*'TE BF'!$N$49</f>
        <v>0</v>
      </c>
      <c r="O39" s="20">
        <f>'TE BE'!$O$39*'TE BF'!$O$49</f>
        <v>0</v>
      </c>
      <c r="P39" s="20">
        <f>'TE BE'!$P$39*'TE BF'!$P$49</f>
        <v>0</v>
      </c>
      <c r="Q39" s="20">
        <f>SUM($L$39:$P$39)</f>
        <v>0</v>
      </c>
      <c r="R39" s="20">
        <f>'TE BE'!$R$39*'TE BF'!$R$49</f>
        <v>0</v>
      </c>
      <c r="S39" s="20">
        <f>SUM($R$39:$R$39)</f>
        <v>0</v>
      </c>
      <c r="T39" s="20">
        <f>'TE BE'!$T$39*'TE BF'!$T$49</f>
        <v>0</v>
      </c>
      <c r="U39" s="20">
        <f>'TE BE'!$U$39*'TE BF'!$U$49</f>
        <v>0</v>
      </c>
      <c r="V39" s="20">
        <f>'TE BE'!$V$39*'TE BF'!$V$49</f>
        <v>0</v>
      </c>
      <c r="W39" s="20">
        <f>SUM($T$39:$V$39)</f>
        <v>0</v>
      </c>
      <c r="X39" s="20">
        <f>'TE BE'!$AB$39*'TE BF'!$X$49</f>
        <v>0</v>
      </c>
      <c r="Y39" s="20">
        <f>SUM($X$39:$X$39)</f>
        <v>0</v>
      </c>
      <c r="Z39" s="20">
        <f>'TE BE'!$Z$39*'TE BF'!$Z$49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3">
      <c r="A40" s="99"/>
      <c r="B40" s="22" t="s">
        <v>84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74</v>
      </c>
      <c r="H40" s="23" t="s">
        <v>70</v>
      </c>
      <c r="I40" s="23">
        <f>'MERCADO TE'!$U$37</f>
        <v>0</v>
      </c>
      <c r="J40" s="15"/>
      <c r="L40" s="20">
        <f>'TE BE'!$L$40*'TE BF'!$L$49</f>
        <v>0</v>
      </c>
      <c r="M40" s="20">
        <f>'TE BE'!$M$40*'TE BF'!$M$49</f>
        <v>0</v>
      </c>
      <c r="N40" s="20">
        <f>'TE BE'!$N$40*'TE BF'!$N$49</f>
        <v>0</v>
      </c>
      <c r="O40" s="20">
        <f>'TE BE'!$O$40*'TE BF'!$O$49</f>
        <v>0</v>
      </c>
      <c r="P40" s="20">
        <f>'TE BE'!$P$40*'TE BF'!$P$49</f>
        <v>0</v>
      </c>
      <c r="Q40" s="20">
        <f>SUM($L$40:$P$40)</f>
        <v>0</v>
      </c>
      <c r="R40" s="20">
        <f>'TE BE'!$R$40*'TE BF'!$R$49</f>
        <v>0</v>
      </c>
      <c r="S40" s="20">
        <f>SUM($R$40:$R$40)</f>
        <v>0</v>
      </c>
      <c r="T40" s="20">
        <f>'TE BE'!$T$40*'TE BF'!$T$49</f>
        <v>0</v>
      </c>
      <c r="U40" s="20">
        <f>'TE BE'!$U$40*'TE BF'!$U$49</f>
        <v>0</v>
      </c>
      <c r="V40" s="20">
        <f>'TE BE'!$V$40*'TE BF'!$V$49</f>
        <v>0</v>
      </c>
      <c r="W40" s="20">
        <f>SUM($T$40:$V$40)</f>
        <v>0</v>
      </c>
      <c r="X40" s="20">
        <f>'TE BE'!$AB$40*'TE BF'!$X$49</f>
        <v>0</v>
      </c>
      <c r="Y40" s="20">
        <f>SUM($X$40:$X$40)</f>
        <v>0</v>
      </c>
      <c r="Z40" s="20">
        <f>'TE BE'!$Z$40*'TE BF'!$Z$49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3">
      <c r="A41" s="99" t="s">
        <v>46</v>
      </c>
      <c r="B41" s="99" t="s">
        <v>73</v>
      </c>
      <c r="C41" s="99" t="s">
        <v>47</v>
      </c>
      <c r="D41" s="22" t="s">
        <v>48</v>
      </c>
      <c r="E41" s="22" t="s">
        <v>25</v>
      </c>
      <c r="F41" s="22" t="s">
        <v>25</v>
      </c>
      <c r="G41" s="23" t="s">
        <v>74</v>
      </c>
      <c r="H41" s="23" t="s">
        <v>70</v>
      </c>
      <c r="I41" s="23">
        <f>'MERCADO TE'!$U$38</f>
        <v>2495.3550000000005</v>
      </c>
      <c r="J41" s="15"/>
      <c r="L41" s="20">
        <f>'TE BE'!$L$41*'TE BF'!$L$49</f>
        <v>0</v>
      </c>
      <c r="M41" s="20">
        <f>'TE BE'!$M$41*'TE BF'!$M$49</f>
        <v>0</v>
      </c>
      <c r="N41" s="20">
        <f>'TE BE'!$N$41*'TE BF'!$N$49</f>
        <v>0</v>
      </c>
      <c r="O41" s="20">
        <f>'TE BE'!$O$41*'TE BF'!$O$49</f>
        <v>0</v>
      </c>
      <c r="P41" s="20">
        <f>'TE BE'!$P$41*'TE BF'!$P$49</f>
        <v>0</v>
      </c>
      <c r="Q41" s="20">
        <f>SUM($L$41:$P$41)</f>
        <v>0</v>
      </c>
      <c r="R41" s="20">
        <f>'TE BE'!$R$41*'TE BF'!$R$49</f>
        <v>0</v>
      </c>
      <c r="S41" s="20">
        <f>SUM($R$41:$R$41)</f>
        <v>0</v>
      </c>
      <c r="T41" s="20">
        <f>'TE BE'!$T$41*'TE BF'!$T$49</f>
        <v>0</v>
      </c>
      <c r="U41" s="20">
        <f>'TE BE'!$U$41*'TE BF'!$U$49</f>
        <v>0</v>
      </c>
      <c r="V41" s="20">
        <f>'TE BE'!$V$41*'TE BF'!$V$49</f>
        <v>0</v>
      </c>
      <c r="W41" s="20">
        <f>SUM($T$41:$V$41)</f>
        <v>0</v>
      </c>
      <c r="X41" s="20">
        <f>'TE BE'!$AB$41*'TE BF'!$X$49</f>
        <v>0</v>
      </c>
      <c r="Y41" s="20">
        <f>SUM($X$41:$X$41)</f>
        <v>0</v>
      </c>
      <c r="Z41" s="20">
        <f>'TE BE'!$Z$41*'TE BF'!$Z$49</f>
        <v>0</v>
      </c>
      <c r="AA41" s="20">
        <f>SUM($Z$41:$Z$41)</f>
        <v>0</v>
      </c>
      <c r="AB41" s="20">
        <f>SUMIF($L$4:$AA$4,"SUBTOTAL",$L$41:$AA$41)</f>
        <v>0</v>
      </c>
    </row>
    <row r="42" spans="1:28" ht="11.25" customHeight="1" x14ac:dyDescent="0.3">
      <c r="A42" s="99"/>
      <c r="B42" s="99"/>
      <c r="C42" s="99"/>
      <c r="D42" s="23" t="s">
        <v>49</v>
      </c>
      <c r="E42" s="23" t="s">
        <v>25</v>
      </c>
      <c r="F42" s="23" t="s">
        <v>25</v>
      </c>
      <c r="G42" s="23" t="s">
        <v>74</v>
      </c>
      <c r="H42" s="23" t="s">
        <v>70</v>
      </c>
      <c r="I42" s="23">
        <f>'MERCADO TE'!$U$39</f>
        <v>1567.3130000000001</v>
      </c>
      <c r="J42" s="15"/>
      <c r="L42" s="20">
        <f>'TE BE'!$L$42*'TE BF'!$L$49</f>
        <v>0</v>
      </c>
      <c r="M42" s="20">
        <f>'TE BE'!$M$42*'TE BF'!$M$49</f>
        <v>0</v>
      </c>
      <c r="N42" s="20">
        <f>'TE BE'!$N$42*'TE BF'!$N$49</f>
        <v>0</v>
      </c>
      <c r="O42" s="20">
        <f>'TE BE'!$O$42*'TE BF'!$O$49</f>
        <v>0</v>
      </c>
      <c r="P42" s="20">
        <f>'TE BE'!$P$42*'TE BF'!$P$49</f>
        <v>0</v>
      </c>
      <c r="Q42" s="20">
        <f>SUM($L$42:$P$42)</f>
        <v>0</v>
      </c>
      <c r="R42" s="20">
        <f>'TE BE'!$R$42*'TE BF'!$R$49</f>
        <v>0</v>
      </c>
      <c r="S42" s="20">
        <f>SUM($R$42:$R$42)</f>
        <v>0</v>
      </c>
      <c r="T42" s="20">
        <f>'TE BE'!$T$42*'TE BF'!$T$49</f>
        <v>0</v>
      </c>
      <c r="U42" s="20">
        <f>'TE BE'!$U$42*'TE BF'!$U$49</f>
        <v>0</v>
      </c>
      <c r="V42" s="20">
        <f>'TE BE'!$V$42*'TE BF'!$V$49</f>
        <v>0</v>
      </c>
      <c r="W42" s="20">
        <f>SUM($T$42:$V$42)</f>
        <v>0</v>
      </c>
      <c r="X42" s="20">
        <f>'TE BE'!$AB$42*'TE BF'!$X$49</f>
        <v>0</v>
      </c>
      <c r="Y42" s="20">
        <f>SUM($X$42:$X$42)</f>
        <v>0</v>
      </c>
      <c r="Z42" s="20">
        <f>'TE BE'!$Z$42*'TE BF'!$Z$49</f>
        <v>0</v>
      </c>
      <c r="AA42" s="20">
        <f>SUM($Z$42:$Z$42)</f>
        <v>0</v>
      </c>
      <c r="AB42" s="20">
        <f>SUMIF($L$4:$AA$4,"SUBTOTAL",$L$42:$AA$42)</f>
        <v>0</v>
      </c>
    </row>
    <row r="44" spans="1:28" ht="11.25" customHeight="1" x14ac:dyDescent="0.3">
      <c r="K44" s="25" t="s">
        <v>622</v>
      </c>
      <c r="L44" s="20">
        <f t="shared" ref="L44:AB44" si="0">SUMPRODUCT($I$5:$I$42,L$5:L$42)</f>
        <v>0</v>
      </c>
      <c r="M44" s="20">
        <f t="shared" si="0"/>
        <v>0</v>
      </c>
      <c r="N44" s="20">
        <f t="shared" si="0"/>
        <v>0</v>
      </c>
      <c r="O44" s="20">
        <f t="shared" si="0"/>
        <v>0</v>
      </c>
      <c r="P44" s="20">
        <f t="shared" si="0"/>
        <v>0</v>
      </c>
      <c r="Q44" s="20">
        <f t="shared" si="0"/>
        <v>0</v>
      </c>
      <c r="R44" s="20">
        <f t="shared" si="0"/>
        <v>0</v>
      </c>
      <c r="S44" s="20">
        <f t="shared" si="0"/>
        <v>0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0</v>
      </c>
    </row>
    <row r="45" spans="1:28" ht="11.25" customHeight="1" x14ac:dyDescent="0.3">
      <c r="K45" s="25" t="s">
        <v>541</v>
      </c>
      <c r="L45" s="20">
        <f>CUSTOS!$D$30</f>
        <v>0</v>
      </c>
      <c r="M45" s="20">
        <f>CUSTOS!$D$31</f>
        <v>0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0</v>
      </c>
      <c r="R45" s="20">
        <f>CUSTOS!$D$36</f>
        <v>8464455.5507126208</v>
      </c>
      <c r="S45" s="20">
        <f>CUSTOS!$D$37</f>
        <v>8464455.5507126208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8464455.5507126208</v>
      </c>
    </row>
    <row r="46" spans="1:28" ht="11.25" customHeight="1" x14ac:dyDescent="0.3">
      <c r="K46" s="25" t="s">
        <v>542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-134647.15914233806</v>
      </c>
      <c r="S46" s="20">
        <f>CUSTOS!$E$37</f>
        <v>-134647.15914233806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-134647.15914233806</v>
      </c>
    </row>
    <row r="47" spans="1:28" ht="11.25" customHeight="1" x14ac:dyDescent="0.3">
      <c r="K47" s="25" t="s">
        <v>543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1:28" ht="11.25" customHeight="1" x14ac:dyDescent="0.3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4">
    <cfRule type="cellIs" dxfId="590" priority="33" operator="notEqual">
      <formula>$L$47</formula>
    </cfRule>
    <cfRule type="cellIs" dxfId="589" priority="34" operator="equal">
      <formula>$L$47</formula>
    </cfRule>
  </conditionalFormatting>
  <conditionalFormatting sqref="M44">
    <cfRule type="cellIs" dxfId="588" priority="31" operator="notEqual">
      <formula>$M$47</formula>
    </cfRule>
    <cfRule type="cellIs" dxfId="587" priority="32" operator="equal">
      <formula>$M$47</formula>
    </cfRule>
  </conditionalFormatting>
  <conditionalFormatting sqref="N44">
    <cfRule type="cellIs" dxfId="586" priority="29" operator="notEqual">
      <formula>$N$47</formula>
    </cfRule>
    <cfRule type="cellIs" dxfId="585" priority="30" operator="equal">
      <formula>$N$47</formula>
    </cfRule>
  </conditionalFormatting>
  <conditionalFormatting sqref="O44">
    <cfRule type="cellIs" dxfId="584" priority="27" operator="notEqual">
      <formula>$O$47</formula>
    </cfRule>
    <cfRule type="cellIs" dxfId="583" priority="28" operator="equal">
      <formula>$O$47</formula>
    </cfRule>
  </conditionalFormatting>
  <conditionalFormatting sqref="P44">
    <cfRule type="cellIs" dxfId="582" priority="25" operator="notEqual">
      <formula>$P$47</formula>
    </cfRule>
    <cfRule type="cellIs" dxfId="581" priority="26" operator="equal">
      <formula>$P$47</formula>
    </cfRule>
  </conditionalFormatting>
  <conditionalFormatting sqref="Q44">
    <cfRule type="cellIs" dxfId="580" priority="23" operator="notEqual">
      <formula>$Q$47</formula>
    </cfRule>
    <cfRule type="cellIs" dxfId="579" priority="24" operator="equal">
      <formula>$Q$47</formula>
    </cfRule>
  </conditionalFormatting>
  <conditionalFormatting sqref="R44">
    <cfRule type="cellIs" dxfId="578" priority="21" operator="notEqual">
      <formula>$R$47</formula>
    </cfRule>
    <cfRule type="cellIs" dxfId="577" priority="22" operator="equal">
      <formula>$R$47</formula>
    </cfRule>
  </conditionalFormatting>
  <conditionalFormatting sqref="S44">
    <cfRule type="cellIs" dxfId="576" priority="19" operator="notEqual">
      <formula>$S$47</formula>
    </cfRule>
    <cfRule type="cellIs" dxfId="575" priority="20" operator="equal">
      <formula>$S$47</formula>
    </cfRule>
  </conditionalFormatting>
  <conditionalFormatting sqref="T44">
    <cfRule type="cellIs" dxfId="574" priority="17" operator="notEqual">
      <formula>$T$47</formula>
    </cfRule>
    <cfRule type="cellIs" dxfId="573" priority="18" operator="equal">
      <formula>$T$47</formula>
    </cfRule>
  </conditionalFormatting>
  <conditionalFormatting sqref="U44">
    <cfRule type="cellIs" dxfId="572" priority="15" operator="notEqual">
      <formula>$U$47</formula>
    </cfRule>
    <cfRule type="cellIs" dxfId="571" priority="16" operator="equal">
      <formula>$U$47</formula>
    </cfRule>
  </conditionalFormatting>
  <conditionalFormatting sqref="V44">
    <cfRule type="cellIs" dxfId="570" priority="13" operator="notEqual">
      <formula>$V$47</formula>
    </cfRule>
    <cfRule type="cellIs" dxfId="569" priority="14" operator="equal">
      <formula>$V$47</formula>
    </cfRule>
  </conditionalFormatting>
  <conditionalFormatting sqref="W44">
    <cfRule type="cellIs" dxfId="568" priority="11" operator="notEqual">
      <formula>$W$47</formula>
    </cfRule>
    <cfRule type="cellIs" dxfId="567" priority="12" operator="equal">
      <formula>$W$47</formula>
    </cfRule>
  </conditionalFormatting>
  <conditionalFormatting sqref="X44">
    <cfRule type="cellIs" dxfId="566" priority="9" operator="notEqual">
      <formula>$X$47</formula>
    </cfRule>
    <cfRule type="cellIs" dxfId="565" priority="10" operator="equal">
      <formula>$X$47</formula>
    </cfRule>
  </conditionalFormatting>
  <conditionalFormatting sqref="Y44">
    <cfRule type="cellIs" dxfId="564" priority="7" operator="notEqual">
      <formula>$Y$47</formula>
    </cfRule>
    <cfRule type="cellIs" dxfId="563" priority="8" operator="equal">
      <formula>$Y$47</formula>
    </cfRule>
  </conditionalFormatting>
  <conditionalFormatting sqref="Z44">
    <cfRule type="cellIs" dxfId="562" priority="5" operator="notEqual">
      <formula>$Z$47</formula>
    </cfRule>
    <cfRule type="cellIs" dxfId="561" priority="6" operator="equal">
      <formula>$Z$47</formula>
    </cfRule>
  </conditionalFormatting>
  <conditionalFormatting sqref="AA44">
    <cfRule type="cellIs" dxfId="560" priority="3" operator="notEqual">
      <formula>$AA$47</formula>
    </cfRule>
    <cfRule type="cellIs" dxfId="559" priority="4" operator="equal">
      <formula>$AA$47</formula>
    </cfRule>
  </conditionalFormatting>
  <conditionalFormatting sqref="AB44">
    <cfRule type="cellIs" dxfId="558" priority="1" operator="notEqual">
      <formula>$AB$47</formula>
    </cfRule>
    <cfRule type="cellIs" dxfId="557" priority="2" operator="equal">
      <formula>$AB$47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4B82-4A65-486B-AEF7-3F208F8F0EAF}">
  <dimension ref="A1:AV418"/>
  <sheetViews>
    <sheetView showGridLines="0" topLeftCell="AI1" workbookViewId="0">
      <selection activeCell="AP19" sqref="AP19"/>
    </sheetView>
  </sheetViews>
  <sheetFormatPr defaultRowHeight="11.25" customHeight="1" x14ac:dyDescent="0.3"/>
  <cols>
    <col min="1" max="1" width="18" style="4" bestFit="1" customWidth="1"/>
    <col min="2" max="2" width="12.109375" style="4" bestFit="1" customWidth="1"/>
    <col min="3" max="3" width="13.5546875" style="4" bestFit="1" customWidth="1"/>
    <col min="4" max="4" width="12.6640625" style="4" bestFit="1" customWidth="1"/>
    <col min="5" max="5" width="23.109375" style="4" bestFit="1" customWidth="1"/>
    <col min="6" max="6" width="10.6640625" style="4" bestFit="1" customWidth="1"/>
    <col min="7" max="7" width="10.21875" style="4" bestFit="1" customWidth="1"/>
    <col min="8" max="8" width="9.5546875" style="4" bestFit="1" customWidth="1"/>
    <col min="9" max="9" width="10.77734375" style="5" bestFit="1" customWidth="1"/>
    <col min="10" max="10" width="6.33203125" style="6" bestFit="1" customWidth="1"/>
    <col min="11" max="11" width="7.5546875" style="6" bestFit="1" customWidth="1"/>
    <col min="12" max="12" width="10.77734375" style="6" bestFit="1" customWidth="1"/>
    <col min="13" max="13" width="12.109375" style="6" bestFit="1" customWidth="1"/>
    <col min="14" max="14" width="8.6640625" style="6" bestFit="1" customWidth="1"/>
    <col min="15" max="15" width="10" style="6" bestFit="1" customWidth="1"/>
    <col min="16" max="16" width="7.21875" style="6" bestFit="1" customWidth="1"/>
    <col min="17" max="17" width="10.44140625" style="4" bestFit="1" customWidth="1"/>
    <col min="18" max="18" width="12.44140625" style="4" bestFit="1" customWidth="1"/>
    <col min="19" max="19" width="21.88671875" style="4" bestFit="1" customWidth="1"/>
    <col min="20" max="20" width="23.21875" style="4" bestFit="1" customWidth="1"/>
    <col min="21" max="21" width="21" style="4" bestFit="1" customWidth="1"/>
    <col min="22" max="22" width="14.88671875" style="4" bestFit="1" customWidth="1"/>
    <col min="23" max="23" width="16.21875" style="4" bestFit="1" customWidth="1"/>
    <col min="24" max="24" width="14.109375" style="4" bestFit="1" customWidth="1"/>
    <col min="25" max="25" width="19.5546875" style="4" bestFit="1" customWidth="1"/>
    <col min="26" max="26" width="20.88671875" style="4" bestFit="1" customWidth="1"/>
    <col min="27" max="27" width="18.77734375" style="4" bestFit="1" customWidth="1"/>
    <col min="28" max="28" width="21.6640625" style="4" bestFit="1" customWidth="1"/>
    <col min="29" max="29" width="23" style="4" bestFit="1" customWidth="1"/>
    <col min="30" max="30" width="20.77734375" style="4" bestFit="1" customWidth="1"/>
    <col min="31" max="31" width="22.6640625" style="4" bestFit="1" customWidth="1"/>
    <col min="32" max="32" width="24" style="4" bestFit="1" customWidth="1"/>
    <col min="33" max="33" width="21.88671875" style="4" bestFit="1" customWidth="1"/>
    <col min="34" max="34" width="8.88671875" style="4"/>
    <col min="35" max="35" width="9" style="4" bestFit="1" customWidth="1"/>
    <col min="36" max="36" width="13.5546875" style="4" bestFit="1" customWidth="1"/>
    <col min="37" max="37" width="14.5546875" style="4" bestFit="1" customWidth="1"/>
    <col min="38" max="38" width="8.33203125" style="4" bestFit="1" customWidth="1"/>
    <col min="39" max="39" width="8.88671875" style="4"/>
    <col min="40" max="40" width="9" style="4" bestFit="1" customWidth="1"/>
    <col min="41" max="41" width="11.33203125" style="4" bestFit="1" customWidth="1"/>
    <col min="42" max="42" width="12.33203125" style="4" bestFit="1" customWidth="1"/>
    <col min="43" max="43" width="8.33203125" style="4" bestFit="1" customWidth="1"/>
    <col min="44" max="44" width="8.88671875" style="4"/>
    <col min="45" max="45" width="9" style="4" bestFit="1" customWidth="1"/>
    <col min="46" max="47" width="10.5546875" style="4" bestFit="1" customWidth="1"/>
    <col min="48" max="48" width="8.33203125" style="4" bestFit="1" customWidth="1"/>
    <col min="49" max="16384" width="8.88671875" style="4"/>
  </cols>
  <sheetData>
    <row r="1" spans="1:48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666</v>
      </c>
      <c r="AC1" s="1" t="s">
        <v>667</v>
      </c>
      <c r="AD1" s="1" t="s">
        <v>668</v>
      </c>
      <c r="AE1" s="1" t="s">
        <v>669</v>
      </c>
      <c r="AF1" s="1" t="s">
        <v>670</v>
      </c>
      <c r="AG1" s="1" t="s">
        <v>671</v>
      </c>
      <c r="AI1" s="34" t="s">
        <v>60</v>
      </c>
      <c r="AJ1" s="34" t="s">
        <v>672</v>
      </c>
      <c r="AK1" s="34" t="s">
        <v>673</v>
      </c>
      <c r="AL1" s="34" t="s">
        <v>674</v>
      </c>
      <c r="AN1" s="34" t="s">
        <v>60</v>
      </c>
      <c r="AO1" s="34" t="s">
        <v>675</v>
      </c>
      <c r="AP1" s="34" t="s">
        <v>676</v>
      </c>
      <c r="AQ1" s="34" t="s">
        <v>674</v>
      </c>
      <c r="AS1" s="34" t="s">
        <v>60</v>
      </c>
      <c r="AT1" s="34" t="s">
        <v>677</v>
      </c>
      <c r="AU1" s="34" t="s">
        <v>678</v>
      </c>
      <c r="AV1" s="34" t="s">
        <v>674</v>
      </c>
    </row>
    <row r="2" spans="1:48" ht="11.25" customHeight="1" x14ac:dyDescent="0.3">
      <c r="A2" s="4" t="s">
        <v>21</v>
      </c>
      <c r="B2" s="4" t="s">
        <v>37</v>
      </c>
      <c r="C2" s="4" t="s">
        <v>41</v>
      </c>
      <c r="D2" s="4" t="s">
        <v>40</v>
      </c>
      <c r="E2" s="4" t="s">
        <v>25</v>
      </c>
      <c r="F2" s="4" t="s">
        <v>25</v>
      </c>
      <c r="G2" s="4" t="s">
        <v>25</v>
      </c>
      <c r="H2" s="4" t="s">
        <v>34</v>
      </c>
      <c r="I2" s="5">
        <v>44440</v>
      </c>
      <c r="J2" s="6">
        <v>555</v>
      </c>
      <c r="K2" s="6">
        <v>555</v>
      </c>
      <c r="L2" s="6">
        <v>288.81400000000002</v>
      </c>
      <c r="M2" s="6">
        <v>288.81400000000002</v>
      </c>
      <c r="N2" s="6">
        <v>288.81400000000002</v>
      </c>
      <c r="O2" s="6">
        <v>288.81400000000002</v>
      </c>
      <c r="P2" s="6">
        <v>0</v>
      </c>
      <c r="Q2" s="4" t="s">
        <v>26</v>
      </c>
      <c r="R2" s="4">
        <v>0</v>
      </c>
      <c r="S2" s="6">
        <v>4</v>
      </c>
      <c r="T2" s="6">
        <v>6</v>
      </c>
      <c r="U2" s="6">
        <v>72</v>
      </c>
      <c r="V2" s="6">
        <f>IF(ISERROR(VLOOKUP($S$2,'TAR FIN'!$A$1:$O$85,15,0)),0,VLOOKUP($S$2,'TAR FIN'!$A$1:$O$85,15,0))</f>
        <v>29.51</v>
      </c>
      <c r="W2" s="6">
        <f>IF(ISERROR(VLOOKUP($T$2,'TAR FIN'!$A$1:$O$85,15,0)),0,VLOOKUP($T$2,'TAR FIN'!$A$1:$O$85,15,0))</f>
        <v>73.98</v>
      </c>
      <c r="X2" s="6">
        <f>IF(ISERROR(VLOOKUP($U$2,'TAR FIN'!$A$1:$O$85,15,0)),0,VLOOKUP($U$2,'TAR FIN'!$A$1:$O$85,15,0))</f>
        <v>185.74</v>
      </c>
      <c r="Y2" s="6">
        <f ca="1">('TUSD BE'!$AM$6+'TUSD BF'!$AM$6+'TUSD CVA'!$AM$6)*1</f>
        <v>32.760867323415219</v>
      </c>
      <c r="Z2" s="6">
        <f ca="1">('TUSD BE'!$AM$7+'TUSD BF'!$AM$7+'TUSD CVA'!$AM$7)*1</f>
        <v>104.33304759371407</v>
      </c>
      <c r="AA2" s="6">
        <f>('TE BE'!$AB$6+'TE BF'!$AB$6+'TE CVA'!$AB$6)*1</f>
        <v>166.7634981586946</v>
      </c>
      <c r="AB2" s="6">
        <f>$K$2*$V$2</f>
        <v>16378.050000000001</v>
      </c>
      <c r="AC2" s="6">
        <f>$M$2*$W$2</f>
        <v>21366.459720000003</v>
      </c>
      <c r="AD2" s="6">
        <f>$O$2*$X$2</f>
        <v>53644.312360000004</v>
      </c>
      <c r="AE2" s="6">
        <f ca="1">$K$2*$Y$2</f>
        <v>18182.281364495448</v>
      </c>
      <c r="AF2" s="6">
        <f ca="1">$M$2*$Z$2</f>
        <v>30132.844807730937</v>
      </c>
      <c r="AG2" s="6">
        <f>$O$2*$AA$2</f>
        <v>48163.632957205227</v>
      </c>
      <c r="AI2" s="35" t="s">
        <v>37</v>
      </c>
      <c r="AJ2" s="36">
        <f>SUMIF($B$2:$B$418,AI2,$AB$2:$AB$418)+SUMIF($B$2:$B$418,AI2,$AC$2:$AC$418)</f>
        <v>2248447.4694599998</v>
      </c>
      <c r="AK2" s="36">
        <f ca="1">SUMIF($B$2:$B$418,AI2,$AE$2:$AE$418)+SUMIF($B$2:$B$418,AI2,$AF$2:$AF$418)</f>
        <v>2702180.3744879509</v>
      </c>
      <c r="AL2" s="37">
        <f t="shared" ref="AL2:AL9" ca="1" si="0">IF(AJ2&lt;&gt;0,AK2/AJ2-1,0)</f>
        <v>0.20179831247599589</v>
      </c>
      <c r="AN2" s="35" t="s">
        <v>37</v>
      </c>
      <c r="AO2" s="36">
        <f>SUMIF($B$2:$B$418,AN2,$AD$2:$AD$418)</f>
        <v>1678775.1421800004</v>
      </c>
      <c r="AP2" s="36">
        <f>SUMIF($B$2:$B$418,AN2,$AG$2:$AG$418)</f>
        <v>1507259.6927522169</v>
      </c>
      <c r="AQ2" s="37">
        <f t="shared" ref="AQ2:AQ9" si="1">IF(AO2&lt;&gt;0,AP2/AO2-1,0)</f>
        <v>-0.10216701755844404</v>
      </c>
      <c r="AS2" s="35" t="s">
        <v>37</v>
      </c>
      <c r="AT2" s="36">
        <f>SUMIF($B$2:$B$418,AS2,$AB$2:$AB$418)+SUMIF($B$2:$B$418,AS2,$AC$2:$AC$418)+SUMIF($B$2:$B$418,AS2,$AD$2:$AD$418)</f>
        <v>3927222.6116400003</v>
      </c>
      <c r="AU2" s="36">
        <f ca="1">SUMIF($B$2:$B$418,AS2,$AE$2:$AE$418)+SUMIF($B$2:$B$418,AS2,$AF$2:$AF$418)+SUMIF($B$2:$B$418,AS2,$AG$2:$AG$418)</f>
        <v>4209440.0672401674</v>
      </c>
      <c r="AV2" s="37">
        <f t="shared" ref="AV2:AV9" ca="1" si="2">IF(AT2&lt;&gt;0,AU2/AT2-1,0)</f>
        <v>7.1861843218078647E-2</v>
      </c>
    </row>
    <row r="3" spans="1:48" ht="11.25" customHeight="1" x14ac:dyDescent="0.3">
      <c r="A3" s="4" t="s">
        <v>21</v>
      </c>
      <c r="B3" s="4" t="s">
        <v>37</v>
      </c>
      <c r="C3" s="4" t="s">
        <v>41</v>
      </c>
      <c r="D3" s="4" t="s">
        <v>40</v>
      </c>
      <c r="E3" s="4" t="s">
        <v>25</v>
      </c>
      <c r="F3" s="4" t="s">
        <v>25</v>
      </c>
      <c r="G3" s="4" t="s">
        <v>25</v>
      </c>
      <c r="H3" s="4" t="s">
        <v>34</v>
      </c>
      <c r="I3" s="5">
        <v>44470</v>
      </c>
      <c r="J3" s="6">
        <v>541</v>
      </c>
      <c r="K3" s="6">
        <v>541</v>
      </c>
      <c r="L3" s="6">
        <v>313.89100000000002</v>
      </c>
      <c r="M3" s="6">
        <v>313.89100000000002</v>
      </c>
      <c r="N3" s="6">
        <v>313.89100000000002</v>
      </c>
      <c r="O3" s="6">
        <v>313.89100000000002</v>
      </c>
      <c r="P3" s="6">
        <v>0</v>
      </c>
      <c r="Q3" s="4" t="s">
        <v>26</v>
      </c>
      <c r="R3" s="4">
        <v>0</v>
      </c>
      <c r="S3" s="6">
        <v>4</v>
      </c>
      <c r="T3" s="6">
        <v>6</v>
      </c>
      <c r="U3" s="6">
        <v>72</v>
      </c>
      <c r="V3" s="6">
        <f>IF(ISERROR(VLOOKUP($S$3,'TAR FIN'!$A$1:$O$85,15,0)),0,VLOOKUP($S$3,'TAR FIN'!$A$1:$O$85,15,0))</f>
        <v>29.51</v>
      </c>
      <c r="W3" s="6">
        <f>IF(ISERROR(VLOOKUP($T$3,'TAR FIN'!$A$1:$O$85,15,0)),0,VLOOKUP($T$3,'TAR FIN'!$A$1:$O$85,15,0))</f>
        <v>73.98</v>
      </c>
      <c r="X3" s="6">
        <f>IF(ISERROR(VLOOKUP($U$3,'TAR FIN'!$A$1:$O$85,15,0)),0,VLOOKUP($U$3,'TAR FIN'!$A$1:$O$85,15,0))</f>
        <v>185.74</v>
      </c>
      <c r="Y3" s="6">
        <f ca="1">('TUSD BE'!$AM$6+'TUSD BF'!$AM$6+'TUSD CVA'!$AM$6)*1</f>
        <v>32.760867323415219</v>
      </c>
      <c r="Z3" s="6">
        <f ca="1">('TUSD BE'!$AM$7+'TUSD BF'!$AM$7+'TUSD CVA'!$AM$7)*1</f>
        <v>104.33304759371407</v>
      </c>
      <c r="AA3" s="6">
        <f>('TE BE'!$AB$6+'TE BF'!$AB$6+'TE CVA'!$AB$6)*1</f>
        <v>166.7634981586946</v>
      </c>
      <c r="AB3" s="6">
        <f>$K$3*$V$3</f>
        <v>15964.910000000002</v>
      </c>
      <c r="AC3" s="6">
        <f>$M$3*$W$3</f>
        <v>23221.656180000002</v>
      </c>
      <c r="AD3" s="6">
        <f>$O$3*$X$3</f>
        <v>58302.114340000007</v>
      </c>
      <c r="AE3" s="6">
        <f ca="1">$K$3*$Y$3</f>
        <v>17723.629221967632</v>
      </c>
      <c r="AF3" s="6">
        <f ca="1">$M$3*$Z$3</f>
        <v>32749.204642238506</v>
      </c>
      <c r="AG3" s="6">
        <f>$O$3*$AA$3</f>
        <v>52345.561200530814</v>
      </c>
      <c r="AI3" s="35" t="s">
        <v>22</v>
      </c>
      <c r="AJ3" s="36">
        <f>SUMIF($B$2:$B$418,AI3,$AB$2:$AB$418)+SUMIF($B$2:$B$418,AI3,$AC$2:$AC$418)</f>
        <v>7208379.9387044962</v>
      </c>
      <c r="AK3" s="36">
        <f ca="1">SUMIF($B$2:$B$418,AI3,$AE$2:$AE$418)+SUMIF($B$2:$B$418,AI3,$AF$2:$AF$418)</f>
        <v>8440294.8386368919</v>
      </c>
      <c r="AL3" s="37">
        <f t="shared" ca="1" si="0"/>
        <v>0.17090038405408992</v>
      </c>
      <c r="AN3" s="35" t="s">
        <v>22</v>
      </c>
      <c r="AO3" s="36">
        <f>SUMIF($B$2:$B$418,AN3,$AD$2:$AD$418)</f>
        <v>3033218.8608624982</v>
      </c>
      <c r="AP3" s="36">
        <f>SUMIF($B$2:$B$418,AN3,$AG$2:$AG$418)</f>
        <v>2723322.3060376588</v>
      </c>
      <c r="AQ3" s="37">
        <f t="shared" si="1"/>
        <v>-0.10216755501009911</v>
      </c>
      <c r="AS3" s="35" t="s">
        <v>22</v>
      </c>
      <c r="AT3" s="36">
        <f>SUMIF($B$2:$B$418,AS3,$AB$2:$AB$418)+SUMIF($B$2:$B$418,AS3,$AC$2:$AC$418)+SUMIF($B$2:$B$418,AS3,$AD$2:$AD$418)</f>
        <v>10241598.799566995</v>
      </c>
      <c r="AU3" s="36">
        <f ca="1">SUMIF($B$2:$B$418,AS3,$AE$2:$AE$418)+SUMIF($B$2:$B$418,AS3,$AF$2:$AF$418)+SUMIF($B$2:$B$418,AS3,$AG$2:$AG$418)</f>
        <v>11163617.144674551</v>
      </c>
      <c r="AV3" s="37">
        <f t="shared" ca="1" si="2"/>
        <v>9.0026797881062937E-2</v>
      </c>
    </row>
    <row r="4" spans="1:48" ht="11.25" customHeight="1" x14ac:dyDescent="0.3">
      <c r="A4" s="4" t="s">
        <v>21</v>
      </c>
      <c r="B4" s="4" t="s">
        <v>37</v>
      </c>
      <c r="C4" s="4" t="s">
        <v>41</v>
      </c>
      <c r="D4" s="4" t="s">
        <v>40</v>
      </c>
      <c r="E4" s="4" t="s">
        <v>25</v>
      </c>
      <c r="F4" s="4" t="s">
        <v>25</v>
      </c>
      <c r="G4" s="4" t="s">
        <v>25</v>
      </c>
      <c r="H4" s="4" t="s">
        <v>34</v>
      </c>
      <c r="I4" s="5">
        <v>44501</v>
      </c>
      <c r="J4" s="6">
        <v>555</v>
      </c>
      <c r="K4" s="6">
        <v>555</v>
      </c>
      <c r="L4" s="6">
        <v>329.20600000000002</v>
      </c>
      <c r="M4" s="6">
        <v>329.20600000000002</v>
      </c>
      <c r="N4" s="6">
        <v>329.20600000000002</v>
      </c>
      <c r="O4" s="6">
        <v>329.20600000000002</v>
      </c>
      <c r="P4" s="6">
        <v>0</v>
      </c>
      <c r="Q4" s="4" t="s">
        <v>26</v>
      </c>
      <c r="R4" s="4">
        <v>0</v>
      </c>
      <c r="S4" s="6">
        <v>4</v>
      </c>
      <c r="T4" s="6">
        <v>6</v>
      </c>
      <c r="U4" s="6">
        <v>72</v>
      </c>
      <c r="V4" s="6">
        <f>IF(ISERROR(VLOOKUP($S$4,'TAR FIN'!$A$1:$O$85,15,0)),0,VLOOKUP($S$4,'TAR FIN'!$A$1:$O$85,15,0))</f>
        <v>29.51</v>
      </c>
      <c r="W4" s="6">
        <f>IF(ISERROR(VLOOKUP($T$4,'TAR FIN'!$A$1:$O$85,15,0)),0,VLOOKUP($T$4,'TAR FIN'!$A$1:$O$85,15,0))</f>
        <v>73.98</v>
      </c>
      <c r="X4" s="6">
        <f>IF(ISERROR(VLOOKUP($U$4,'TAR FIN'!$A$1:$O$85,15,0)),0,VLOOKUP($U$4,'TAR FIN'!$A$1:$O$85,15,0))</f>
        <v>185.74</v>
      </c>
      <c r="Y4" s="6">
        <f ca="1">('TUSD BE'!$AM$6+'TUSD BF'!$AM$6+'TUSD CVA'!$AM$6)*1</f>
        <v>32.760867323415219</v>
      </c>
      <c r="Z4" s="6">
        <f ca="1">('TUSD BE'!$AM$7+'TUSD BF'!$AM$7+'TUSD CVA'!$AM$7)*1</f>
        <v>104.33304759371407</v>
      </c>
      <c r="AA4" s="6">
        <f>('TE BE'!$AB$6+'TE BF'!$AB$6+'TE CVA'!$AB$6)*1</f>
        <v>166.7634981586946</v>
      </c>
      <c r="AB4" s="6">
        <f>$K$4*$V$4</f>
        <v>16378.050000000001</v>
      </c>
      <c r="AC4" s="6">
        <f>$M$4*$W$4</f>
        <v>24354.659880000003</v>
      </c>
      <c r="AD4" s="6">
        <f>$O$4*$X$4</f>
        <v>61146.722440000005</v>
      </c>
      <c r="AE4" s="6">
        <f ca="1">$K$4*$Y$4</f>
        <v>18182.281364495448</v>
      </c>
      <c r="AF4" s="6">
        <f ca="1">$M$4*$Z$4</f>
        <v>34347.065266136233</v>
      </c>
      <c r="AG4" s="6">
        <f>$O$4*$AA$4</f>
        <v>54899.544174831215</v>
      </c>
      <c r="AI4" s="35" t="s">
        <v>43</v>
      </c>
      <c r="AJ4" s="36">
        <f>SUMIF($B$2:$B$418,AI4,$AB$2:$AB$418)+SUMIF($B$2:$B$418,AI4,$AC$2:$AC$418)</f>
        <v>7562577.1217499999</v>
      </c>
      <c r="AK4" s="36">
        <f ca="1">SUMIF($B$2:$B$418,AI4,$AE$2:$AE$418)+SUMIF($B$2:$B$418,AI4,$AF$2:$AF$418)</f>
        <v>9469562.8147143256</v>
      </c>
      <c r="AL4" s="37">
        <f t="shared" ca="1" si="0"/>
        <v>0.25216082590150757</v>
      </c>
      <c r="AN4" s="35" t="s">
        <v>43</v>
      </c>
      <c r="AO4" s="36">
        <f>SUMIF($B$2:$B$418,AN4,$AD$2:$AD$418)</f>
        <v>3171040.3287499994</v>
      </c>
      <c r="AP4" s="36">
        <f>SUMIF($B$2:$B$418,AN4,$AG$2:$AG$418)</f>
        <v>3041204.9638615362</v>
      </c>
      <c r="AQ4" s="37">
        <f t="shared" si="1"/>
        <v>-4.0944091347978273E-2</v>
      </c>
      <c r="AS4" s="35" t="s">
        <v>43</v>
      </c>
      <c r="AT4" s="36">
        <f>SUMIF($B$2:$B$418,AS4,$AB$2:$AB$418)+SUMIF($B$2:$B$418,AS4,$AC$2:$AC$418)+SUMIF($B$2:$B$418,AS4,$AD$2:$AD$418)</f>
        <v>10733617.4505</v>
      </c>
      <c r="AU4" s="36">
        <f ca="1">SUMIF($B$2:$B$418,AS4,$AE$2:$AE$418)+SUMIF($B$2:$B$418,AS4,$AF$2:$AF$418)+SUMIF($B$2:$B$418,AS4,$AG$2:$AG$418)</f>
        <v>12510767.778575862</v>
      </c>
      <c r="AV4" s="37">
        <f t="shared" ca="1" si="2"/>
        <v>0.16556862924093463</v>
      </c>
    </row>
    <row r="5" spans="1:48" ht="11.25" customHeight="1" x14ac:dyDescent="0.3">
      <c r="A5" s="4" t="s">
        <v>21</v>
      </c>
      <c r="B5" s="4" t="s">
        <v>37</v>
      </c>
      <c r="C5" s="4" t="s">
        <v>41</v>
      </c>
      <c r="D5" s="4" t="s">
        <v>40</v>
      </c>
      <c r="E5" s="4" t="s">
        <v>25</v>
      </c>
      <c r="F5" s="4" t="s">
        <v>25</v>
      </c>
      <c r="G5" s="4" t="s">
        <v>25</v>
      </c>
      <c r="H5" s="4" t="s">
        <v>34</v>
      </c>
      <c r="I5" s="5">
        <v>44531</v>
      </c>
      <c r="J5" s="6">
        <v>571</v>
      </c>
      <c r="K5" s="6">
        <v>571</v>
      </c>
      <c r="L5" s="6">
        <v>339.89699999999999</v>
      </c>
      <c r="M5" s="6">
        <v>339.89699999999999</v>
      </c>
      <c r="N5" s="6">
        <v>339.89699999999999</v>
      </c>
      <c r="O5" s="6">
        <v>339.89699999999999</v>
      </c>
      <c r="P5" s="6">
        <v>0</v>
      </c>
      <c r="Q5" s="4" t="s">
        <v>26</v>
      </c>
      <c r="R5" s="4">
        <v>0</v>
      </c>
      <c r="S5" s="6">
        <v>4</v>
      </c>
      <c r="T5" s="6">
        <v>6</v>
      </c>
      <c r="U5" s="6">
        <v>72</v>
      </c>
      <c r="V5" s="6">
        <f>IF(ISERROR(VLOOKUP($S$5,'TAR FIN'!$A$1:$O$85,15,0)),0,VLOOKUP($S$5,'TAR FIN'!$A$1:$O$85,15,0))</f>
        <v>29.51</v>
      </c>
      <c r="W5" s="6">
        <f>IF(ISERROR(VLOOKUP($T$5,'TAR FIN'!$A$1:$O$85,15,0)),0,VLOOKUP($T$5,'TAR FIN'!$A$1:$O$85,15,0))</f>
        <v>73.98</v>
      </c>
      <c r="X5" s="6">
        <f>IF(ISERROR(VLOOKUP($U$5,'TAR FIN'!$A$1:$O$85,15,0)),0,VLOOKUP($U$5,'TAR FIN'!$A$1:$O$85,15,0))</f>
        <v>185.74</v>
      </c>
      <c r="Y5" s="6">
        <f ca="1">('TUSD BE'!$AM$6+'TUSD BF'!$AM$6+'TUSD CVA'!$AM$6)*1</f>
        <v>32.760867323415219</v>
      </c>
      <c r="Z5" s="6">
        <f ca="1">('TUSD BE'!$AM$7+'TUSD BF'!$AM$7+'TUSD CVA'!$AM$7)*1</f>
        <v>104.33304759371407</v>
      </c>
      <c r="AA5" s="6">
        <f>('TE BE'!$AB$6+'TE BF'!$AB$6+'TE CVA'!$AB$6)*1</f>
        <v>166.7634981586946</v>
      </c>
      <c r="AB5" s="6">
        <f>$K$5*$V$5</f>
        <v>16850.21</v>
      </c>
      <c r="AC5" s="6">
        <f>$M$5*$W$5</f>
        <v>25145.58006</v>
      </c>
      <c r="AD5" s="6">
        <f>$O$5*$X$5</f>
        <v>63132.468780000003</v>
      </c>
      <c r="AE5" s="6">
        <f ca="1">$K$5*$Y$5</f>
        <v>18706.45524167009</v>
      </c>
      <c r="AF5" s="6">
        <f ca="1">$M$5*$Z$5</f>
        <v>35462.48987796063</v>
      </c>
      <c r="AG5" s="6">
        <f>$O$5*$AA$5</f>
        <v>56682.412733645819</v>
      </c>
      <c r="AI5" s="35" t="s">
        <v>35</v>
      </c>
      <c r="AJ5" s="36">
        <f>SUMIF($B$2:$B$418,AI5,$AB$2:$AB$418)+SUMIF($B$2:$B$418,AI5,$AC$2:$AC$418)</f>
        <v>1205498.5866692003</v>
      </c>
      <c r="AK5" s="36">
        <f ca="1">SUMIF($B$2:$B$418,AI5,$AE$2:$AE$418)+SUMIF($B$2:$B$418,AI5,$AF$2:$AF$418)</f>
        <v>1414147.8869600589</v>
      </c>
      <c r="AL5" s="37">
        <f t="shared" ca="1" si="0"/>
        <v>0.17308133132479053</v>
      </c>
      <c r="AN5" s="35" t="s">
        <v>35</v>
      </c>
      <c r="AO5" s="36">
        <f>SUMIF($B$2:$B$418,AN5,$AD$2:$AD$418)</f>
        <v>505440.33521479997</v>
      </c>
      <c r="AP5" s="36">
        <f>SUMIF($B$2:$B$418,AN5,$AG$2:$AG$418)</f>
        <v>454124.10622221127</v>
      </c>
      <c r="AQ5" s="37">
        <f t="shared" si="1"/>
        <v>-0.10152776780424644</v>
      </c>
      <c r="AS5" s="35" t="s">
        <v>35</v>
      </c>
      <c r="AT5" s="36">
        <f>SUMIF($B$2:$B$418,AS5,$AB$2:$AB$418)+SUMIF($B$2:$B$418,AS5,$AC$2:$AC$418)+SUMIF($B$2:$B$418,AS5,$AD$2:$AD$418)</f>
        <v>1710938.9218840003</v>
      </c>
      <c r="AU5" s="36">
        <f ca="1">SUMIF($B$2:$B$418,AS5,$AE$2:$AE$418)+SUMIF($B$2:$B$418,AS5,$AF$2:$AF$418)+SUMIF($B$2:$B$418,AS5,$AG$2:$AG$418)</f>
        <v>1868271.9931822703</v>
      </c>
      <c r="AV5" s="37">
        <f t="shared" ca="1" si="2"/>
        <v>9.1957152465163894E-2</v>
      </c>
    </row>
    <row r="6" spans="1:48" ht="11.25" customHeight="1" x14ac:dyDescent="0.3">
      <c r="A6" s="4" t="s">
        <v>21</v>
      </c>
      <c r="B6" s="4" t="s">
        <v>37</v>
      </c>
      <c r="C6" s="4" t="s">
        <v>41</v>
      </c>
      <c r="D6" s="4" t="s">
        <v>40</v>
      </c>
      <c r="E6" s="4" t="s">
        <v>25</v>
      </c>
      <c r="F6" s="4" t="s">
        <v>25</v>
      </c>
      <c r="G6" s="4" t="s">
        <v>25</v>
      </c>
      <c r="H6" s="4" t="s">
        <v>34</v>
      </c>
      <c r="I6" s="5">
        <v>44562</v>
      </c>
      <c r="J6" s="6">
        <v>579</v>
      </c>
      <c r="K6" s="6">
        <v>579</v>
      </c>
      <c r="L6" s="6">
        <v>338.29199999999997</v>
      </c>
      <c r="M6" s="6">
        <v>338.29199999999997</v>
      </c>
      <c r="N6" s="6">
        <v>338.29199999999997</v>
      </c>
      <c r="O6" s="6">
        <v>338.29199999999997</v>
      </c>
      <c r="P6" s="6">
        <v>0</v>
      </c>
      <c r="Q6" s="4" t="s">
        <v>26</v>
      </c>
      <c r="R6" s="4">
        <v>0</v>
      </c>
      <c r="S6" s="6">
        <v>4</v>
      </c>
      <c r="T6" s="6">
        <v>6</v>
      </c>
      <c r="U6" s="6">
        <v>72</v>
      </c>
      <c r="V6" s="6">
        <f>IF(ISERROR(VLOOKUP($S$6,'TAR FIN'!$A$1:$O$85,15,0)),0,VLOOKUP($S$6,'TAR FIN'!$A$1:$O$85,15,0))</f>
        <v>29.51</v>
      </c>
      <c r="W6" s="6">
        <f>IF(ISERROR(VLOOKUP($T$6,'TAR FIN'!$A$1:$O$85,15,0)),0,VLOOKUP($T$6,'TAR FIN'!$A$1:$O$85,15,0))</f>
        <v>73.98</v>
      </c>
      <c r="X6" s="6">
        <f>IF(ISERROR(VLOOKUP($U$6,'TAR FIN'!$A$1:$O$85,15,0)),0,VLOOKUP($U$6,'TAR FIN'!$A$1:$O$85,15,0))</f>
        <v>185.74</v>
      </c>
      <c r="Y6" s="6">
        <f ca="1">('TUSD BE'!$AM$6+'TUSD BF'!$AM$6+'TUSD CVA'!$AM$6)*1</f>
        <v>32.760867323415219</v>
      </c>
      <c r="Z6" s="6">
        <f ca="1">('TUSD BE'!$AM$7+'TUSD BF'!$AM$7+'TUSD CVA'!$AM$7)*1</f>
        <v>104.33304759371407</v>
      </c>
      <c r="AA6" s="6">
        <f>('TE BE'!$AB$6+'TE BF'!$AB$6+'TE CVA'!$AB$6)*1</f>
        <v>166.7634981586946</v>
      </c>
      <c r="AB6" s="6">
        <f>$K$6*$V$6</f>
        <v>17086.29</v>
      </c>
      <c r="AC6" s="6">
        <f>$M$6*$W$6</f>
        <v>25026.84216</v>
      </c>
      <c r="AD6" s="6">
        <f>$O$6*$X$6</f>
        <v>62834.356079999998</v>
      </c>
      <c r="AE6" s="6">
        <f ca="1">$K$6*$Y$6</f>
        <v>18968.542180257413</v>
      </c>
      <c r="AF6" s="6">
        <f ca="1">$M$6*$Z$6</f>
        <v>35295.035336572721</v>
      </c>
      <c r="AG6" s="6">
        <f>$O$6*$AA$6</f>
        <v>56414.757319101111</v>
      </c>
      <c r="AI6" s="35" t="s">
        <v>46</v>
      </c>
      <c r="AJ6" s="36">
        <f>SUMIF($B$2:$B$418,AI6,$AB$2:$AB$418)+SUMIF($B$2:$B$418,AI6,$AC$2:$AC$418)</f>
        <v>1024503.7877900003</v>
      </c>
      <c r="AK6" s="36">
        <f ca="1">SUMIF($B$2:$B$418,AI6,$AE$2:$AE$418)+SUMIF($B$2:$B$418,AI6,$AF$2:$AF$418)</f>
        <v>1200962.7021324756</v>
      </c>
      <c r="AL6" s="37">
        <f t="shared" ca="1" si="0"/>
        <v>0.17223842063397554</v>
      </c>
      <c r="AN6" s="35" t="s">
        <v>46</v>
      </c>
      <c r="AO6" s="36">
        <f>SUMIF($B$2:$B$418,AN6,$AD$2:$AD$418)</f>
        <v>429602.50064999994</v>
      </c>
      <c r="AP6" s="36">
        <f>SUMIF($B$2:$B$418,AN6,$AG$2:$AG$418)</f>
        <v>385696.13007504295</v>
      </c>
      <c r="AQ6" s="37">
        <f t="shared" si="1"/>
        <v>-0.10220231611437436</v>
      </c>
      <c r="AS6" s="35" t="s">
        <v>46</v>
      </c>
      <c r="AT6" s="36">
        <f>SUMIF($B$2:$B$418,AS6,$AB$2:$AB$418)+SUMIF($B$2:$B$418,AS6,$AC$2:$AC$418)+SUMIF($B$2:$B$418,AS6,$AD$2:$AD$418)</f>
        <v>1454106.2884400003</v>
      </c>
      <c r="AU6" s="36">
        <f ca="1">SUMIF($B$2:$B$418,AS6,$AE$2:$AE$418)+SUMIF($B$2:$B$418,AS6,$AF$2:$AF$418)+SUMIF($B$2:$B$418,AS6,$AG$2:$AG$418)</f>
        <v>1586658.8322075186</v>
      </c>
      <c r="AV6" s="37">
        <f t="shared" ca="1" si="2"/>
        <v>9.1157396691904813E-2</v>
      </c>
    </row>
    <row r="7" spans="1:48" ht="11.25" customHeight="1" x14ac:dyDescent="0.3">
      <c r="A7" s="4" t="s">
        <v>21</v>
      </c>
      <c r="B7" s="4" t="s">
        <v>37</v>
      </c>
      <c r="C7" s="4" t="s">
        <v>41</v>
      </c>
      <c r="D7" s="4" t="s">
        <v>40</v>
      </c>
      <c r="E7" s="4" t="s">
        <v>25</v>
      </c>
      <c r="F7" s="4" t="s">
        <v>25</v>
      </c>
      <c r="G7" s="4" t="s">
        <v>25</v>
      </c>
      <c r="H7" s="4" t="s">
        <v>34</v>
      </c>
      <c r="I7" s="5">
        <v>44593</v>
      </c>
      <c r="J7" s="6">
        <v>590</v>
      </c>
      <c r="K7" s="6">
        <v>590</v>
      </c>
      <c r="L7" s="6">
        <v>311.79599999999999</v>
      </c>
      <c r="M7" s="6">
        <v>311.79599999999999</v>
      </c>
      <c r="N7" s="6">
        <v>311.79599999999999</v>
      </c>
      <c r="O7" s="6">
        <v>311.79599999999999</v>
      </c>
      <c r="P7" s="6">
        <v>0</v>
      </c>
      <c r="Q7" s="4" t="s">
        <v>26</v>
      </c>
      <c r="R7" s="4">
        <v>0</v>
      </c>
      <c r="S7" s="6">
        <v>4</v>
      </c>
      <c r="T7" s="6">
        <v>6</v>
      </c>
      <c r="U7" s="6">
        <v>72</v>
      </c>
      <c r="V7" s="6">
        <f>IF(ISERROR(VLOOKUP($S$7,'TAR FIN'!$A$1:$O$85,15,0)),0,VLOOKUP($S$7,'TAR FIN'!$A$1:$O$85,15,0))</f>
        <v>29.51</v>
      </c>
      <c r="W7" s="6">
        <f>IF(ISERROR(VLOOKUP($T$7,'TAR FIN'!$A$1:$O$85,15,0)),0,VLOOKUP($T$7,'TAR FIN'!$A$1:$O$85,15,0))</f>
        <v>73.98</v>
      </c>
      <c r="X7" s="6">
        <f>IF(ISERROR(VLOOKUP($U$7,'TAR FIN'!$A$1:$O$85,15,0)),0,VLOOKUP($U$7,'TAR FIN'!$A$1:$O$85,15,0))</f>
        <v>185.74</v>
      </c>
      <c r="Y7" s="6">
        <f ca="1">('TUSD BE'!$AM$6+'TUSD BF'!$AM$6+'TUSD CVA'!$AM$6)*1</f>
        <v>32.760867323415219</v>
      </c>
      <c r="Z7" s="6">
        <f ca="1">('TUSD BE'!$AM$7+'TUSD BF'!$AM$7+'TUSD CVA'!$AM$7)*1</f>
        <v>104.33304759371407</v>
      </c>
      <c r="AA7" s="6">
        <f>('TE BE'!$AB$6+'TE BF'!$AB$6+'TE CVA'!$AB$6)*1</f>
        <v>166.7634981586946</v>
      </c>
      <c r="AB7" s="6">
        <f>$K$7*$V$7</f>
        <v>17410.900000000001</v>
      </c>
      <c r="AC7" s="6">
        <f>$M$7*$W$7</f>
        <v>23066.668079999999</v>
      </c>
      <c r="AD7" s="6">
        <f>$O$7*$X$7</f>
        <v>57912.98904</v>
      </c>
      <c r="AE7" s="6">
        <f ca="1">$K$7*$Y$7</f>
        <v>19328.91172081498</v>
      </c>
      <c r="AF7" s="6">
        <f ca="1">$M$7*$Z$7</f>
        <v>32530.626907529673</v>
      </c>
      <c r="AG7" s="6">
        <f>$O$7*$AA$7</f>
        <v>51996.191671888344</v>
      </c>
      <c r="AI7" s="35" t="s">
        <v>679</v>
      </c>
      <c r="AJ7" s="36">
        <f>+$AJ$2</f>
        <v>2248447.4694599998</v>
      </c>
      <c r="AK7" s="36">
        <f ca="1">+$AK$2</f>
        <v>2702180.3744879509</v>
      </c>
      <c r="AL7" s="37">
        <f t="shared" ca="1" si="0"/>
        <v>0.20179831247599589</v>
      </c>
      <c r="AN7" s="35" t="s">
        <v>679</v>
      </c>
      <c r="AO7" s="36">
        <f>+$AO$2</f>
        <v>1678775.1421800004</v>
      </c>
      <c r="AP7" s="36">
        <f>+$AP$2</f>
        <v>1507259.6927522169</v>
      </c>
      <c r="AQ7" s="37">
        <f t="shared" si="1"/>
        <v>-0.10216701755844404</v>
      </c>
      <c r="AS7" s="35" t="s">
        <v>679</v>
      </c>
      <c r="AT7" s="36">
        <f>+$AT$2</f>
        <v>3927222.6116400003</v>
      </c>
      <c r="AU7" s="36">
        <f ca="1">+$AU$2</f>
        <v>4209440.0672401674</v>
      </c>
      <c r="AV7" s="37">
        <f t="shared" ca="1" si="2"/>
        <v>7.1861843218078647E-2</v>
      </c>
    </row>
    <row r="8" spans="1:48" ht="11.25" customHeight="1" x14ac:dyDescent="0.3">
      <c r="A8" s="4" t="s">
        <v>21</v>
      </c>
      <c r="B8" s="4" t="s">
        <v>37</v>
      </c>
      <c r="C8" s="4" t="s">
        <v>41</v>
      </c>
      <c r="D8" s="4" t="s">
        <v>40</v>
      </c>
      <c r="E8" s="4" t="s">
        <v>25</v>
      </c>
      <c r="F8" s="4" t="s">
        <v>25</v>
      </c>
      <c r="G8" s="4" t="s">
        <v>25</v>
      </c>
      <c r="H8" s="4" t="s">
        <v>34</v>
      </c>
      <c r="I8" s="5">
        <v>44621</v>
      </c>
      <c r="J8" s="6">
        <v>527</v>
      </c>
      <c r="K8" s="6">
        <v>527</v>
      </c>
      <c r="L8" s="6">
        <v>308.38099999999997</v>
      </c>
      <c r="M8" s="6">
        <v>308.38099999999997</v>
      </c>
      <c r="N8" s="6">
        <v>308.38099999999997</v>
      </c>
      <c r="O8" s="6">
        <v>308.38099999999997</v>
      </c>
      <c r="P8" s="6">
        <v>0</v>
      </c>
      <c r="Q8" s="4" t="s">
        <v>26</v>
      </c>
      <c r="R8" s="4">
        <v>0</v>
      </c>
      <c r="S8" s="6">
        <v>4</v>
      </c>
      <c r="T8" s="6">
        <v>6</v>
      </c>
      <c r="U8" s="6">
        <v>72</v>
      </c>
      <c r="V8" s="6">
        <f>IF(ISERROR(VLOOKUP($S$8,'TAR FIN'!$A$1:$O$85,15,0)),0,VLOOKUP($S$8,'TAR FIN'!$A$1:$O$85,15,0))</f>
        <v>29.51</v>
      </c>
      <c r="W8" s="6">
        <f>IF(ISERROR(VLOOKUP($T$8,'TAR FIN'!$A$1:$O$85,15,0)),0,VLOOKUP($T$8,'TAR FIN'!$A$1:$O$85,15,0))</f>
        <v>73.98</v>
      </c>
      <c r="X8" s="6">
        <f>IF(ISERROR(VLOOKUP($U$8,'TAR FIN'!$A$1:$O$85,15,0)),0,VLOOKUP($U$8,'TAR FIN'!$A$1:$O$85,15,0))</f>
        <v>185.74</v>
      </c>
      <c r="Y8" s="6">
        <f ca="1">('TUSD BE'!$AM$6+'TUSD BF'!$AM$6+'TUSD CVA'!$AM$6)*1</f>
        <v>32.760867323415219</v>
      </c>
      <c r="Z8" s="6">
        <f ca="1">('TUSD BE'!$AM$7+'TUSD BF'!$AM$7+'TUSD CVA'!$AM$7)*1</f>
        <v>104.33304759371407</v>
      </c>
      <c r="AA8" s="6">
        <f>('TE BE'!$AB$6+'TE BF'!$AB$6+'TE CVA'!$AB$6)*1</f>
        <v>166.7634981586946</v>
      </c>
      <c r="AB8" s="6">
        <f>$K$8*$V$8</f>
        <v>15551.77</v>
      </c>
      <c r="AC8" s="6">
        <f>$M$8*$W$8</f>
        <v>22814.026379999999</v>
      </c>
      <c r="AD8" s="6">
        <f>$O$8*$X$8</f>
        <v>57278.68694</v>
      </c>
      <c r="AE8" s="6">
        <f ca="1">$K$8*$Y$8</f>
        <v>17264.977079439821</v>
      </c>
      <c r="AF8" s="6">
        <f ca="1">$M$8*$Z$8</f>
        <v>32174.329549997135</v>
      </c>
      <c r="AG8" s="6">
        <f>$O$8*$AA$8</f>
        <v>51426.694325676399</v>
      </c>
      <c r="AI8" s="35" t="s">
        <v>80</v>
      </c>
      <c r="AJ8" s="36">
        <f>+$AJ$3+$AJ$4+$AJ$5+$AJ$6</f>
        <v>17000959.434913695</v>
      </c>
      <c r="AK8" s="36">
        <f ca="1">+$AK$3+$AK$4+$AK$5+$AK$6</f>
        <v>20524968.242443752</v>
      </c>
      <c r="AL8" s="37">
        <f t="shared" ca="1" si="0"/>
        <v>0.20728293723782687</v>
      </c>
      <c r="AN8" s="35" t="s">
        <v>80</v>
      </c>
      <c r="AO8" s="36">
        <f>+$AO$3+$AO$4+$AO$5+$AO$6</f>
        <v>7139302.0254772976</v>
      </c>
      <c r="AP8" s="36">
        <f>+$AP$3+$AP$4+$AP$5+$AP$6</f>
        <v>6604347.5061964495</v>
      </c>
      <c r="AQ8" s="37">
        <f t="shared" si="1"/>
        <v>-7.4930927053066365E-2</v>
      </c>
      <c r="AS8" s="35" t="s">
        <v>80</v>
      </c>
      <c r="AT8" s="36">
        <f>+$AT$3+$AT$4+$AT$5+$AT$6</f>
        <v>24140261.460390996</v>
      </c>
      <c r="AU8" s="36">
        <f ca="1">+$AU$3+$AU$4+$AU$5+$AU$6</f>
        <v>27129315.748640206</v>
      </c>
      <c r="AV8" s="37">
        <f t="shared" ca="1" si="2"/>
        <v>0.12382029470366795</v>
      </c>
    </row>
    <row r="9" spans="1:48" ht="11.25" customHeight="1" x14ac:dyDescent="0.3">
      <c r="A9" s="4" t="s">
        <v>21</v>
      </c>
      <c r="B9" s="4" t="s">
        <v>37</v>
      </c>
      <c r="C9" s="4" t="s">
        <v>41</v>
      </c>
      <c r="D9" s="4" t="s">
        <v>40</v>
      </c>
      <c r="E9" s="4" t="s">
        <v>25</v>
      </c>
      <c r="F9" s="4" t="s">
        <v>25</v>
      </c>
      <c r="G9" s="4" t="s">
        <v>25</v>
      </c>
      <c r="H9" s="4" t="s">
        <v>34</v>
      </c>
      <c r="I9" s="5">
        <v>44652</v>
      </c>
      <c r="J9" s="6">
        <v>527</v>
      </c>
      <c r="K9" s="6">
        <v>527</v>
      </c>
      <c r="L9" s="6">
        <v>283.87799999999999</v>
      </c>
      <c r="M9" s="6">
        <v>283.87799999999999</v>
      </c>
      <c r="N9" s="6">
        <v>283.87799999999999</v>
      </c>
      <c r="O9" s="6">
        <v>283.87799999999999</v>
      </c>
      <c r="P9" s="6">
        <v>0</v>
      </c>
      <c r="Q9" s="4" t="s">
        <v>26</v>
      </c>
      <c r="R9" s="4">
        <v>0</v>
      </c>
      <c r="S9" s="6">
        <v>4</v>
      </c>
      <c r="T9" s="6">
        <v>6</v>
      </c>
      <c r="U9" s="6">
        <v>72</v>
      </c>
      <c r="V9" s="6">
        <f>IF(ISERROR(VLOOKUP($S$9,'TAR FIN'!$A$1:$O$85,15,0)),0,VLOOKUP($S$9,'TAR FIN'!$A$1:$O$85,15,0))</f>
        <v>29.51</v>
      </c>
      <c r="W9" s="6">
        <f>IF(ISERROR(VLOOKUP($T$9,'TAR FIN'!$A$1:$O$85,15,0)),0,VLOOKUP($T$9,'TAR FIN'!$A$1:$O$85,15,0))</f>
        <v>73.98</v>
      </c>
      <c r="X9" s="6">
        <f>IF(ISERROR(VLOOKUP($U$9,'TAR FIN'!$A$1:$O$85,15,0)),0,VLOOKUP($U$9,'TAR FIN'!$A$1:$O$85,15,0))</f>
        <v>185.74</v>
      </c>
      <c r="Y9" s="6">
        <f ca="1">('TUSD BE'!$AM$6+'TUSD BF'!$AM$6+'TUSD CVA'!$AM$6)*1</f>
        <v>32.760867323415219</v>
      </c>
      <c r="Z9" s="6">
        <f ca="1">('TUSD BE'!$AM$7+'TUSD BF'!$AM$7+'TUSD CVA'!$AM$7)*1</f>
        <v>104.33304759371407</v>
      </c>
      <c r="AA9" s="6">
        <f>('TE BE'!$AB$6+'TE BF'!$AB$6+'TE CVA'!$AB$6)*1</f>
        <v>166.7634981586946</v>
      </c>
      <c r="AB9" s="6">
        <f>$K$9*$V$9</f>
        <v>15551.77</v>
      </c>
      <c r="AC9" s="6">
        <f>$M$9*$W$9</f>
        <v>21001.294440000001</v>
      </c>
      <c r="AD9" s="6">
        <f>$O$9*$X$9</f>
        <v>52727.49972</v>
      </c>
      <c r="AE9" s="6">
        <f ca="1">$K$9*$Y$9</f>
        <v>17264.977079439821</v>
      </c>
      <c r="AF9" s="6">
        <f ca="1">$M$9*$Z$9</f>
        <v>29617.85688480836</v>
      </c>
      <c r="AG9" s="6">
        <f>$O$9*$AA$9</f>
        <v>47340.488330293905</v>
      </c>
      <c r="AI9" s="35" t="s">
        <v>680</v>
      </c>
      <c r="AJ9" s="36">
        <f>AJ8+AJ7</f>
        <v>19249406.904373694</v>
      </c>
      <c r="AK9" s="36">
        <f ca="1">AK8+AK7</f>
        <v>23227148.616931703</v>
      </c>
      <c r="AL9" s="37">
        <f t="shared" ca="1" si="0"/>
        <v>0.20664229980271331</v>
      </c>
      <c r="AN9" s="35" t="s">
        <v>680</v>
      </c>
      <c r="AO9" s="36">
        <f>AO8+AO7</f>
        <v>8818077.1676572971</v>
      </c>
      <c r="AP9" s="36">
        <f>AP8+AP7</f>
        <v>8111607.1989486665</v>
      </c>
      <c r="AQ9" s="37">
        <f t="shared" si="1"/>
        <v>-8.0116101875338797E-2</v>
      </c>
      <c r="AS9" s="35" t="s">
        <v>680</v>
      </c>
      <c r="AT9" s="36">
        <f>AT8+AT7</f>
        <v>28067484.072030995</v>
      </c>
      <c r="AU9" s="36">
        <f ca="1">AU8+AU7</f>
        <v>31338755.815880373</v>
      </c>
      <c r="AV9" s="37">
        <f t="shared" ca="1" si="2"/>
        <v>0.11655023070304948</v>
      </c>
    </row>
    <row r="10" spans="1:48" ht="11.25" customHeight="1" x14ac:dyDescent="0.3">
      <c r="A10" s="4" t="s">
        <v>21</v>
      </c>
      <c r="B10" s="4" t="s">
        <v>37</v>
      </c>
      <c r="C10" s="4" t="s">
        <v>41</v>
      </c>
      <c r="D10" s="4" t="s">
        <v>40</v>
      </c>
      <c r="E10" s="4" t="s">
        <v>25</v>
      </c>
      <c r="F10" s="4" t="s">
        <v>25</v>
      </c>
      <c r="G10" s="4" t="s">
        <v>25</v>
      </c>
      <c r="H10" s="4" t="s">
        <v>34</v>
      </c>
      <c r="I10" s="5">
        <v>44682</v>
      </c>
      <c r="J10" s="6">
        <v>527</v>
      </c>
      <c r="K10" s="6">
        <v>527</v>
      </c>
      <c r="L10" s="6">
        <v>299.13900000000001</v>
      </c>
      <c r="M10" s="6">
        <v>299.13900000000001</v>
      </c>
      <c r="N10" s="6">
        <v>299.13900000000001</v>
      </c>
      <c r="O10" s="6">
        <v>299.13900000000001</v>
      </c>
      <c r="P10" s="6">
        <v>0</v>
      </c>
      <c r="Q10" s="4" t="s">
        <v>26</v>
      </c>
      <c r="R10" s="4">
        <v>0</v>
      </c>
      <c r="S10" s="6">
        <v>4</v>
      </c>
      <c r="T10" s="6">
        <v>6</v>
      </c>
      <c r="U10" s="6">
        <v>72</v>
      </c>
      <c r="V10" s="6">
        <f>IF(ISERROR(VLOOKUP($S$10,'TAR FIN'!$A$1:$O$85,15,0)),0,VLOOKUP($S$10,'TAR FIN'!$A$1:$O$85,15,0))</f>
        <v>29.51</v>
      </c>
      <c r="W10" s="6">
        <f>IF(ISERROR(VLOOKUP($T$10,'TAR FIN'!$A$1:$O$85,15,0)),0,VLOOKUP($T$10,'TAR FIN'!$A$1:$O$85,15,0))</f>
        <v>73.98</v>
      </c>
      <c r="X10" s="6">
        <f>IF(ISERROR(VLOOKUP($U$10,'TAR FIN'!$A$1:$O$85,15,0)),0,VLOOKUP($U$10,'TAR FIN'!$A$1:$O$85,15,0))</f>
        <v>185.74</v>
      </c>
      <c r="Y10" s="6">
        <f ca="1">('TUSD BE'!$AM$6+'TUSD BF'!$AM$6+'TUSD CVA'!$AM$6)*1</f>
        <v>32.760867323415219</v>
      </c>
      <c r="Z10" s="6">
        <f ca="1">('TUSD BE'!$AM$7+'TUSD BF'!$AM$7+'TUSD CVA'!$AM$7)*1</f>
        <v>104.33304759371407</v>
      </c>
      <c r="AA10" s="6">
        <f>('TE BE'!$AB$6+'TE BF'!$AB$6+'TE CVA'!$AB$6)*1</f>
        <v>166.7634981586946</v>
      </c>
      <c r="AB10" s="6">
        <f>$K$10*$V$10</f>
        <v>15551.77</v>
      </c>
      <c r="AC10" s="6">
        <f>$M$10*$W$10</f>
        <v>22130.303220000002</v>
      </c>
      <c r="AD10" s="6">
        <f>$O$10*$X$10</f>
        <v>55562.077860000005</v>
      </c>
      <c r="AE10" s="6">
        <f ca="1">$K$10*$Y$10</f>
        <v>17264.977079439821</v>
      </c>
      <c r="AF10" s="6">
        <f ca="1">$M$10*$Z$10</f>
        <v>31210.083524136033</v>
      </c>
      <c r="AG10" s="6">
        <f>$O$10*$AA$10</f>
        <v>49885.466075693745</v>
      </c>
    </row>
    <row r="11" spans="1:48" ht="11.25" customHeight="1" x14ac:dyDescent="0.3">
      <c r="A11" s="4" t="s">
        <v>21</v>
      </c>
      <c r="B11" s="4" t="s">
        <v>37</v>
      </c>
      <c r="C11" s="4" t="s">
        <v>41</v>
      </c>
      <c r="D11" s="4" t="s">
        <v>40</v>
      </c>
      <c r="E11" s="4" t="s">
        <v>25</v>
      </c>
      <c r="F11" s="4" t="s">
        <v>25</v>
      </c>
      <c r="G11" s="4" t="s">
        <v>25</v>
      </c>
      <c r="H11" s="4" t="s">
        <v>34</v>
      </c>
      <c r="I11" s="5">
        <v>44713</v>
      </c>
      <c r="J11" s="6">
        <v>530</v>
      </c>
      <c r="K11" s="6">
        <v>530</v>
      </c>
      <c r="L11" s="6">
        <v>305.49599999999998</v>
      </c>
      <c r="M11" s="6">
        <v>305.49599999999998</v>
      </c>
      <c r="N11" s="6">
        <v>305.49599999999998</v>
      </c>
      <c r="O11" s="6">
        <v>305.49599999999998</v>
      </c>
      <c r="P11" s="6">
        <v>0</v>
      </c>
      <c r="Q11" s="4" t="s">
        <v>26</v>
      </c>
      <c r="R11" s="4">
        <v>0</v>
      </c>
      <c r="S11" s="6">
        <v>4</v>
      </c>
      <c r="T11" s="6">
        <v>6</v>
      </c>
      <c r="U11" s="6">
        <v>72</v>
      </c>
      <c r="V11" s="6">
        <f>IF(ISERROR(VLOOKUP($S$11,'TAR FIN'!$A$1:$O$85,15,0)),0,VLOOKUP($S$11,'TAR FIN'!$A$1:$O$85,15,0))</f>
        <v>29.51</v>
      </c>
      <c r="W11" s="6">
        <f>IF(ISERROR(VLOOKUP($T$11,'TAR FIN'!$A$1:$O$85,15,0)),0,VLOOKUP($T$11,'TAR FIN'!$A$1:$O$85,15,0))</f>
        <v>73.98</v>
      </c>
      <c r="X11" s="6">
        <f>IF(ISERROR(VLOOKUP($U$11,'TAR FIN'!$A$1:$O$85,15,0)),0,VLOOKUP($U$11,'TAR FIN'!$A$1:$O$85,15,0))</f>
        <v>185.74</v>
      </c>
      <c r="Y11" s="6">
        <f ca="1">('TUSD BE'!$AM$6+'TUSD BF'!$AM$6+'TUSD CVA'!$AM$6)*1</f>
        <v>32.760867323415219</v>
      </c>
      <c r="Z11" s="6">
        <f ca="1">('TUSD BE'!$AM$7+'TUSD BF'!$AM$7+'TUSD CVA'!$AM$7)*1</f>
        <v>104.33304759371407</v>
      </c>
      <c r="AA11" s="6">
        <f>('TE BE'!$AB$6+'TE BF'!$AB$6+'TE CVA'!$AB$6)*1</f>
        <v>166.7634981586946</v>
      </c>
      <c r="AB11" s="6">
        <f>$K$11*$V$11</f>
        <v>15640.300000000001</v>
      </c>
      <c r="AC11" s="6">
        <f>$M$11*$W$11</f>
        <v>22600.594079999999</v>
      </c>
      <c r="AD11" s="6">
        <f>$O$11*$X$11</f>
        <v>56742.827039999996</v>
      </c>
      <c r="AE11" s="6">
        <f ca="1">$K$11*$Y$11</f>
        <v>17363.259681410065</v>
      </c>
      <c r="AF11" s="6">
        <f ca="1">$M$11*$Z$11</f>
        <v>31873.32870768927</v>
      </c>
      <c r="AG11" s="6">
        <f>$O$11*$AA$11</f>
        <v>50945.58163348856</v>
      </c>
    </row>
    <row r="12" spans="1:48" ht="11.25" customHeight="1" x14ac:dyDescent="0.3">
      <c r="A12" s="4" t="s">
        <v>21</v>
      </c>
      <c r="B12" s="4" t="s">
        <v>37</v>
      </c>
      <c r="C12" s="4" t="s">
        <v>41</v>
      </c>
      <c r="D12" s="4" t="s">
        <v>40</v>
      </c>
      <c r="E12" s="4" t="s">
        <v>25</v>
      </c>
      <c r="F12" s="4" t="s">
        <v>25</v>
      </c>
      <c r="G12" s="4" t="s">
        <v>25</v>
      </c>
      <c r="H12" s="4" t="s">
        <v>34</v>
      </c>
      <c r="I12" s="5">
        <v>44743</v>
      </c>
      <c r="J12" s="6">
        <v>543</v>
      </c>
      <c r="K12" s="6">
        <v>543</v>
      </c>
      <c r="L12" s="6">
        <v>300.12599999999998</v>
      </c>
      <c r="M12" s="6">
        <v>300.12599999999998</v>
      </c>
      <c r="N12" s="6">
        <v>300.12599999999998</v>
      </c>
      <c r="O12" s="6">
        <v>300.12599999999998</v>
      </c>
      <c r="P12" s="6">
        <v>0</v>
      </c>
      <c r="Q12" s="4" t="s">
        <v>26</v>
      </c>
      <c r="R12" s="4">
        <v>0</v>
      </c>
      <c r="S12" s="6">
        <v>4</v>
      </c>
      <c r="T12" s="6">
        <v>6</v>
      </c>
      <c r="U12" s="6">
        <v>72</v>
      </c>
      <c r="V12" s="6">
        <f>IF(ISERROR(VLOOKUP($S$12,'TAR FIN'!$A$1:$O$85,15,0)),0,VLOOKUP($S$12,'TAR FIN'!$A$1:$O$85,15,0))</f>
        <v>29.51</v>
      </c>
      <c r="W12" s="6">
        <f>IF(ISERROR(VLOOKUP($T$12,'TAR FIN'!$A$1:$O$85,15,0)),0,VLOOKUP($T$12,'TAR FIN'!$A$1:$O$85,15,0))</f>
        <v>73.98</v>
      </c>
      <c r="X12" s="6">
        <f>IF(ISERROR(VLOOKUP($U$12,'TAR FIN'!$A$1:$O$85,15,0)),0,VLOOKUP($U$12,'TAR FIN'!$A$1:$O$85,15,0))</f>
        <v>185.74</v>
      </c>
      <c r="Y12" s="6">
        <f ca="1">('TUSD BE'!$AM$6+'TUSD BF'!$AM$6+'TUSD CVA'!$AM$6)*1</f>
        <v>32.760867323415219</v>
      </c>
      <c r="Z12" s="6">
        <f ca="1">('TUSD BE'!$AM$7+'TUSD BF'!$AM$7+'TUSD CVA'!$AM$7)*1</f>
        <v>104.33304759371407</v>
      </c>
      <c r="AA12" s="6">
        <f>('TE BE'!$AB$6+'TE BF'!$AB$6+'TE CVA'!$AB$6)*1</f>
        <v>166.7634981586946</v>
      </c>
      <c r="AB12" s="6">
        <f>$K$12*$V$12</f>
        <v>16023.93</v>
      </c>
      <c r="AC12" s="6">
        <f>$M$12*$W$12</f>
        <v>22203.321479999999</v>
      </c>
      <c r="AD12" s="6">
        <f>$O$12*$X$12</f>
        <v>55745.40324</v>
      </c>
      <c r="AE12" s="6">
        <f ca="1">$K$12*$Y$12</f>
        <v>17789.150956614463</v>
      </c>
      <c r="AF12" s="6">
        <f ca="1">$M$12*$Z$12</f>
        <v>31313.060242111027</v>
      </c>
      <c r="AG12" s="6">
        <f>$O$12*$AA$12</f>
        <v>50050.061648376373</v>
      </c>
    </row>
    <row r="13" spans="1:48" ht="11.25" customHeight="1" x14ac:dyDescent="0.3">
      <c r="A13" s="4" t="s">
        <v>21</v>
      </c>
      <c r="B13" s="4" t="s">
        <v>37</v>
      </c>
      <c r="C13" s="4" t="s">
        <v>41</v>
      </c>
      <c r="D13" s="4" t="s">
        <v>40</v>
      </c>
      <c r="E13" s="4" t="s">
        <v>25</v>
      </c>
      <c r="F13" s="4" t="s">
        <v>25</v>
      </c>
      <c r="G13" s="4" t="s">
        <v>25</v>
      </c>
      <c r="H13" s="4" t="s">
        <v>34</v>
      </c>
      <c r="I13" s="5">
        <v>44774</v>
      </c>
      <c r="J13" s="6">
        <v>530</v>
      </c>
      <c r="K13" s="6">
        <v>530</v>
      </c>
      <c r="L13" s="6">
        <v>312.01100000000002</v>
      </c>
      <c r="M13" s="6">
        <v>312.01100000000002</v>
      </c>
      <c r="N13" s="6">
        <v>312.01100000000002</v>
      </c>
      <c r="O13" s="6">
        <v>312.01100000000002</v>
      </c>
      <c r="P13" s="6">
        <v>0</v>
      </c>
      <c r="Q13" s="4" t="s">
        <v>26</v>
      </c>
      <c r="R13" s="4">
        <v>0</v>
      </c>
      <c r="S13" s="6">
        <v>4</v>
      </c>
      <c r="T13" s="6">
        <v>6</v>
      </c>
      <c r="U13" s="6">
        <v>72</v>
      </c>
      <c r="V13" s="6">
        <f>IF(ISERROR(VLOOKUP($S$13,'TAR FIN'!$A$1:$O$85,15,0)),0,VLOOKUP($S$13,'TAR FIN'!$A$1:$O$85,15,0))</f>
        <v>29.51</v>
      </c>
      <c r="W13" s="6">
        <f>IF(ISERROR(VLOOKUP($T$13,'TAR FIN'!$A$1:$O$85,15,0)),0,VLOOKUP($T$13,'TAR FIN'!$A$1:$O$85,15,0))</f>
        <v>73.98</v>
      </c>
      <c r="X13" s="6">
        <f>IF(ISERROR(VLOOKUP($U$13,'TAR FIN'!$A$1:$O$85,15,0)),0,VLOOKUP($U$13,'TAR FIN'!$A$1:$O$85,15,0))</f>
        <v>185.74</v>
      </c>
      <c r="Y13" s="6">
        <f ca="1">('TUSD BE'!$AM$6+'TUSD BF'!$AM$6+'TUSD CVA'!$AM$6)*1</f>
        <v>32.760867323415219</v>
      </c>
      <c r="Z13" s="6">
        <f ca="1">('TUSD BE'!$AM$7+'TUSD BF'!$AM$7+'TUSD CVA'!$AM$7)*1</f>
        <v>104.33304759371407</v>
      </c>
      <c r="AA13" s="6">
        <f>('TE BE'!$AB$6+'TE BF'!$AB$6+'TE CVA'!$AB$6)*1</f>
        <v>166.7634981586946</v>
      </c>
      <c r="AB13" s="6">
        <f>$K$13*$V$13</f>
        <v>15640.300000000001</v>
      </c>
      <c r="AC13" s="6">
        <f>$M$13*$W$13</f>
        <v>23082.573780000002</v>
      </c>
      <c r="AD13" s="6">
        <f>$O$13*$X$13</f>
        <v>57952.923140000006</v>
      </c>
      <c r="AE13" s="6">
        <f ca="1">$K$13*$Y$13</f>
        <v>17363.259681410065</v>
      </c>
      <c r="AF13" s="6">
        <f ca="1">$M$13*$Z$13</f>
        <v>32553.058512762324</v>
      </c>
      <c r="AG13" s="6">
        <f>$O$13*$AA$13</f>
        <v>52032.045823992463</v>
      </c>
      <c r="AU13" s="61">
        <f ca="1">AU9+SUBSIDIO!AJ11-CUSTOS!H49</f>
        <v>-2.3469328880310059E-7</v>
      </c>
    </row>
    <row r="14" spans="1:48" ht="11.25" customHeight="1" x14ac:dyDescent="0.3">
      <c r="A14" s="4" t="s">
        <v>21</v>
      </c>
      <c r="B14" s="4" t="s">
        <v>37</v>
      </c>
      <c r="C14" s="4" t="s">
        <v>41</v>
      </c>
      <c r="D14" s="4" t="s">
        <v>40</v>
      </c>
      <c r="E14" s="4" t="s">
        <v>25</v>
      </c>
      <c r="F14" s="4" t="s">
        <v>25</v>
      </c>
      <c r="G14" s="4" t="s">
        <v>25</v>
      </c>
      <c r="H14" s="4" t="s">
        <v>39</v>
      </c>
      <c r="I14" s="5">
        <v>44440</v>
      </c>
      <c r="J14" s="6">
        <v>550</v>
      </c>
      <c r="K14" s="6">
        <v>550</v>
      </c>
      <c r="L14" s="6">
        <v>29.044</v>
      </c>
      <c r="M14" s="6">
        <v>29.044</v>
      </c>
      <c r="N14" s="6">
        <v>29.044</v>
      </c>
      <c r="O14" s="6">
        <v>29.044</v>
      </c>
      <c r="P14" s="6">
        <v>0</v>
      </c>
      <c r="Q14" s="4" t="s">
        <v>26</v>
      </c>
      <c r="R14" s="4">
        <v>0</v>
      </c>
      <c r="S14" s="6">
        <v>1</v>
      </c>
      <c r="T14" s="6">
        <v>6</v>
      </c>
      <c r="U14" s="6">
        <v>71</v>
      </c>
      <c r="V14" s="6">
        <f>IF(ISERROR(VLOOKUP($S$14,'TAR FIN'!$A$1:$O$85,15,0)),0,VLOOKUP($S$14,'TAR FIN'!$A$1:$O$85,15,0))</f>
        <v>89.42</v>
      </c>
      <c r="W14" s="6">
        <f>IF(ISERROR(VLOOKUP($T$14,'TAR FIN'!$A$1:$O$85,15,0)),0,VLOOKUP($T$14,'TAR FIN'!$A$1:$O$85,15,0))</f>
        <v>73.98</v>
      </c>
      <c r="X14" s="6">
        <f>IF(ISERROR(VLOOKUP($U$14,'TAR FIN'!$A$1:$O$85,15,0)),0,VLOOKUP($U$14,'TAR FIN'!$A$1:$O$85,15,0))</f>
        <v>185.74</v>
      </c>
      <c r="Y14" s="6">
        <f ca="1">('TUSD BE'!$AM$5+'TUSD BF'!$AM$5+'TUSD CVA'!$AM$5)*1</f>
        <v>99.83181108434475</v>
      </c>
      <c r="Z14" s="6">
        <f ca="1">('TUSD BE'!$AM$7+'TUSD BF'!$AM$7+'TUSD CVA'!$AM$7)*1</f>
        <v>104.33304759371407</v>
      </c>
      <c r="AA14" s="6">
        <f>('TE BE'!$AB$5+'TE BF'!$AB$5+'TE CVA'!$AB$5)*1</f>
        <v>166.7634981586946</v>
      </c>
      <c r="AB14" s="6">
        <f>$K$14*$V$14</f>
        <v>49181</v>
      </c>
      <c r="AC14" s="6">
        <f>$M$14*$W$14</f>
        <v>2148.6751200000003</v>
      </c>
      <c r="AD14" s="6">
        <f>$O$14*$X$14</f>
        <v>5394.63256</v>
      </c>
      <c r="AE14" s="6">
        <f ca="1">$K$14*$Y$14</f>
        <v>54907.496096389616</v>
      </c>
      <c r="AF14" s="6">
        <f ca="1">$M$14*$Z$14</f>
        <v>3030.2490343118316</v>
      </c>
      <c r="AG14" s="6">
        <f>$O$14*$AA$14</f>
        <v>4843.4790405211261</v>
      </c>
    </row>
    <row r="15" spans="1:48" ht="11.25" customHeight="1" x14ac:dyDescent="0.3">
      <c r="A15" s="4" t="s">
        <v>21</v>
      </c>
      <c r="B15" s="4" t="s">
        <v>37</v>
      </c>
      <c r="C15" s="4" t="s">
        <v>41</v>
      </c>
      <c r="D15" s="4" t="s">
        <v>40</v>
      </c>
      <c r="E15" s="4" t="s">
        <v>25</v>
      </c>
      <c r="F15" s="4" t="s">
        <v>25</v>
      </c>
      <c r="G15" s="4" t="s">
        <v>25</v>
      </c>
      <c r="H15" s="4" t="s">
        <v>39</v>
      </c>
      <c r="I15" s="5">
        <v>44470</v>
      </c>
      <c r="J15" s="6">
        <v>533</v>
      </c>
      <c r="K15" s="6">
        <v>533</v>
      </c>
      <c r="L15" s="6">
        <v>28.974</v>
      </c>
      <c r="M15" s="6">
        <v>28.974</v>
      </c>
      <c r="N15" s="6">
        <v>28.974</v>
      </c>
      <c r="O15" s="6">
        <v>28.974</v>
      </c>
      <c r="P15" s="6">
        <v>0</v>
      </c>
      <c r="Q15" s="4" t="s">
        <v>26</v>
      </c>
      <c r="R15" s="4">
        <v>0</v>
      </c>
      <c r="S15" s="6">
        <v>1</v>
      </c>
      <c r="T15" s="6">
        <v>6</v>
      </c>
      <c r="U15" s="6">
        <v>71</v>
      </c>
      <c r="V15" s="6">
        <f>IF(ISERROR(VLOOKUP($S$15,'TAR FIN'!$A$1:$O$85,15,0)),0,VLOOKUP($S$15,'TAR FIN'!$A$1:$O$85,15,0))</f>
        <v>89.42</v>
      </c>
      <c r="W15" s="6">
        <f>IF(ISERROR(VLOOKUP($T$15,'TAR FIN'!$A$1:$O$85,15,0)),0,VLOOKUP($T$15,'TAR FIN'!$A$1:$O$85,15,0))</f>
        <v>73.98</v>
      </c>
      <c r="X15" s="6">
        <f>IF(ISERROR(VLOOKUP($U$15,'TAR FIN'!$A$1:$O$85,15,0)),0,VLOOKUP($U$15,'TAR FIN'!$A$1:$O$85,15,0))</f>
        <v>185.74</v>
      </c>
      <c r="Y15" s="6">
        <f ca="1">('TUSD BE'!$AM$5+'TUSD BF'!$AM$5+'TUSD CVA'!$AM$5)*1</f>
        <v>99.83181108434475</v>
      </c>
      <c r="Z15" s="6">
        <f ca="1">('TUSD BE'!$AM$7+'TUSD BF'!$AM$7+'TUSD CVA'!$AM$7)*1</f>
        <v>104.33304759371407</v>
      </c>
      <c r="AA15" s="6">
        <f>('TE BE'!$AB$5+'TE BF'!$AB$5+'TE CVA'!$AB$5)*1</f>
        <v>166.7634981586946</v>
      </c>
      <c r="AB15" s="6">
        <f>$K$15*$V$15</f>
        <v>47660.86</v>
      </c>
      <c r="AC15" s="6">
        <f>$M$15*$W$15</f>
        <v>2143.4965200000001</v>
      </c>
      <c r="AD15" s="6">
        <f>$O$15*$X$15</f>
        <v>5381.63076</v>
      </c>
      <c r="AE15" s="6">
        <f ca="1">$K$15*$Y$15</f>
        <v>53210.355307955753</v>
      </c>
      <c r="AF15" s="6">
        <f ca="1">$M$15*$Z$15</f>
        <v>3022.9457209802713</v>
      </c>
      <c r="AG15" s="6">
        <f>$O$15*$AA$15</f>
        <v>4831.8055956500175</v>
      </c>
    </row>
    <row r="16" spans="1:48" ht="11.25" customHeight="1" x14ac:dyDescent="0.3">
      <c r="A16" s="4" t="s">
        <v>21</v>
      </c>
      <c r="B16" s="4" t="s">
        <v>37</v>
      </c>
      <c r="C16" s="4" t="s">
        <v>41</v>
      </c>
      <c r="D16" s="4" t="s">
        <v>40</v>
      </c>
      <c r="E16" s="4" t="s">
        <v>25</v>
      </c>
      <c r="F16" s="4" t="s">
        <v>25</v>
      </c>
      <c r="G16" s="4" t="s">
        <v>25</v>
      </c>
      <c r="H16" s="4" t="s">
        <v>39</v>
      </c>
      <c r="I16" s="5">
        <v>44501</v>
      </c>
      <c r="J16" s="6">
        <v>555</v>
      </c>
      <c r="K16" s="6">
        <v>555</v>
      </c>
      <c r="L16" s="6">
        <v>30.646999999999998</v>
      </c>
      <c r="M16" s="6">
        <v>30.646999999999998</v>
      </c>
      <c r="N16" s="6">
        <v>30.646999999999998</v>
      </c>
      <c r="O16" s="6">
        <v>30.646999999999998</v>
      </c>
      <c r="P16" s="6">
        <v>0</v>
      </c>
      <c r="Q16" s="4" t="s">
        <v>26</v>
      </c>
      <c r="R16" s="4">
        <v>0</v>
      </c>
      <c r="S16" s="6">
        <v>1</v>
      </c>
      <c r="T16" s="6">
        <v>6</v>
      </c>
      <c r="U16" s="6">
        <v>71</v>
      </c>
      <c r="V16" s="6">
        <f>IF(ISERROR(VLOOKUP($S$16,'TAR FIN'!$A$1:$O$85,15,0)),0,VLOOKUP($S$16,'TAR FIN'!$A$1:$O$85,15,0))</f>
        <v>89.42</v>
      </c>
      <c r="W16" s="6">
        <f>IF(ISERROR(VLOOKUP($T$16,'TAR FIN'!$A$1:$O$85,15,0)),0,VLOOKUP($T$16,'TAR FIN'!$A$1:$O$85,15,0))</f>
        <v>73.98</v>
      </c>
      <c r="X16" s="6">
        <f>IF(ISERROR(VLOOKUP($U$16,'TAR FIN'!$A$1:$O$85,15,0)),0,VLOOKUP($U$16,'TAR FIN'!$A$1:$O$85,15,0))</f>
        <v>185.74</v>
      </c>
      <c r="Y16" s="6">
        <f ca="1">('TUSD BE'!$AM$5+'TUSD BF'!$AM$5+'TUSD CVA'!$AM$5)*1</f>
        <v>99.83181108434475</v>
      </c>
      <c r="Z16" s="6">
        <f ca="1">('TUSD BE'!$AM$7+'TUSD BF'!$AM$7+'TUSD CVA'!$AM$7)*1</f>
        <v>104.33304759371407</v>
      </c>
      <c r="AA16" s="6">
        <f>('TE BE'!$AB$5+'TE BF'!$AB$5+'TE CVA'!$AB$5)*1</f>
        <v>166.7634981586946</v>
      </c>
      <c r="AB16" s="6">
        <f>$K$16*$V$16</f>
        <v>49628.1</v>
      </c>
      <c r="AC16" s="6">
        <f>$M$16*$W$16</f>
        <v>2267.2650600000002</v>
      </c>
      <c r="AD16" s="6">
        <f>$O$16*$X$16</f>
        <v>5692.3737799999999</v>
      </c>
      <c r="AE16" s="6">
        <f ca="1">$K$16*$Y$16</f>
        <v>55406.655151811334</v>
      </c>
      <c r="AF16" s="6">
        <f ca="1">$M$16*$Z$16</f>
        <v>3197.4949096045548</v>
      </c>
      <c r="AG16" s="6">
        <f>$O$16*$AA$16</f>
        <v>5110.8009280695132</v>
      </c>
    </row>
    <row r="17" spans="1:33" ht="11.25" customHeight="1" x14ac:dyDescent="0.3">
      <c r="A17" s="4" t="s">
        <v>21</v>
      </c>
      <c r="B17" s="4" t="s">
        <v>37</v>
      </c>
      <c r="C17" s="4" t="s">
        <v>41</v>
      </c>
      <c r="D17" s="4" t="s">
        <v>40</v>
      </c>
      <c r="E17" s="4" t="s">
        <v>25</v>
      </c>
      <c r="F17" s="4" t="s">
        <v>25</v>
      </c>
      <c r="G17" s="4" t="s">
        <v>25</v>
      </c>
      <c r="H17" s="4" t="s">
        <v>39</v>
      </c>
      <c r="I17" s="5">
        <v>44531</v>
      </c>
      <c r="J17" s="6">
        <v>544</v>
      </c>
      <c r="K17" s="6">
        <v>544</v>
      </c>
      <c r="L17" s="6">
        <v>33.9</v>
      </c>
      <c r="M17" s="6">
        <v>33.9</v>
      </c>
      <c r="N17" s="6">
        <v>33.9</v>
      </c>
      <c r="O17" s="6">
        <v>33.9</v>
      </c>
      <c r="P17" s="6">
        <v>0</v>
      </c>
      <c r="Q17" s="4" t="s">
        <v>26</v>
      </c>
      <c r="R17" s="4">
        <v>0</v>
      </c>
      <c r="S17" s="6">
        <v>1</v>
      </c>
      <c r="T17" s="6">
        <v>6</v>
      </c>
      <c r="U17" s="6">
        <v>71</v>
      </c>
      <c r="V17" s="6">
        <f>IF(ISERROR(VLOOKUP($S$17,'TAR FIN'!$A$1:$O$85,15,0)),0,VLOOKUP($S$17,'TAR FIN'!$A$1:$O$85,15,0))</f>
        <v>89.42</v>
      </c>
      <c r="W17" s="6">
        <f>IF(ISERROR(VLOOKUP($T$17,'TAR FIN'!$A$1:$O$85,15,0)),0,VLOOKUP($T$17,'TAR FIN'!$A$1:$O$85,15,0))</f>
        <v>73.98</v>
      </c>
      <c r="X17" s="6">
        <f>IF(ISERROR(VLOOKUP($U$17,'TAR FIN'!$A$1:$O$85,15,0)),0,VLOOKUP($U$17,'TAR FIN'!$A$1:$O$85,15,0))</f>
        <v>185.74</v>
      </c>
      <c r="Y17" s="6">
        <f ca="1">('TUSD BE'!$AM$5+'TUSD BF'!$AM$5+'TUSD CVA'!$AM$5)*1</f>
        <v>99.83181108434475</v>
      </c>
      <c r="Z17" s="6">
        <f ca="1">('TUSD BE'!$AM$7+'TUSD BF'!$AM$7+'TUSD CVA'!$AM$7)*1</f>
        <v>104.33304759371407</v>
      </c>
      <c r="AA17" s="6">
        <f>('TE BE'!$AB$5+'TE BF'!$AB$5+'TE CVA'!$AB$5)*1</f>
        <v>166.7634981586946</v>
      </c>
      <c r="AB17" s="6">
        <f>$K$17*$V$17</f>
        <v>48644.480000000003</v>
      </c>
      <c r="AC17" s="6">
        <f>$M$17*$W$17</f>
        <v>2507.922</v>
      </c>
      <c r="AD17" s="6">
        <f>$O$17*$X$17</f>
        <v>6296.5860000000002</v>
      </c>
      <c r="AE17" s="6">
        <f ca="1">$K$17*$Y$17</f>
        <v>54308.505229883544</v>
      </c>
      <c r="AF17" s="6">
        <f ca="1">$M$17*$Z$17</f>
        <v>3536.8903134269067</v>
      </c>
      <c r="AG17" s="6">
        <f>$O$17*$AA$17</f>
        <v>5653.2825875797471</v>
      </c>
    </row>
    <row r="18" spans="1:33" ht="11.25" customHeight="1" x14ac:dyDescent="0.3">
      <c r="A18" s="4" t="s">
        <v>21</v>
      </c>
      <c r="B18" s="4" t="s">
        <v>37</v>
      </c>
      <c r="C18" s="4" t="s">
        <v>41</v>
      </c>
      <c r="D18" s="4" t="s">
        <v>40</v>
      </c>
      <c r="E18" s="4" t="s">
        <v>25</v>
      </c>
      <c r="F18" s="4" t="s">
        <v>25</v>
      </c>
      <c r="G18" s="4" t="s">
        <v>25</v>
      </c>
      <c r="H18" s="4" t="s">
        <v>39</v>
      </c>
      <c r="I18" s="5">
        <v>44562</v>
      </c>
      <c r="J18" s="6">
        <v>581</v>
      </c>
      <c r="K18" s="6">
        <v>581</v>
      </c>
      <c r="L18" s="6">
        <v>33.347000000000001</v>
      </c>
      <c r="M18" s="6">
        <v>33.347000000000001</v>
      </c>
      <c r="N18" s="6">
        <v>33.347000000000001</v>
      </c>
      <c r="O18" s="6">
        <v>33.347000000000001</v>
      </c>
      <c r="P18" s="6">
        <v>0</v>
      </c>
      <c r="Q18" s="4" t="s">
        <v>26</v>
      </c>
      <c r="R18" s="4">
        <v>0</v>
      </c>
      <c r="S18" s="6">
        <v>1</v>
      </c>
      <c r="T18" s="6">
        <v>6</v>
      </c>
      <c r="U18" s="6">
        <v>71</v>
      </c>
      <c r="V18" s="6">
        <f>IF(ISERROR(VLOOKUP($S$18,'TAR FIN'!$A$1:$O$85,15,0)),0,VLOOKUP($S$18,'TAR FIN'!$A$1:$O$85,15,0))</f>
        <v>89.42</v>
      </c>
      <c r="W18" s="6">
        <f>IF(ISERROR(VLOOKUP($T$18,'TAR FIN'!$A$1:$O$85,15,0)),0,VLOOKUP($T$18,'TAR FIN'!$A$1:$O$85,15,0))</f>
        <v>73.98</v>
      </c>
      <c r="X18" s="6">
        <f>IF(ISERROR(VLOOKUP($U$18,'TAR FIN'!$A$1:$O$85,15,0)),0,VLOOKUP($U$18,'TAR FIN'!$A$1:$O$85,15,0))</f>
        <v>185.74</v>
      </c>
      <c r="Y18" s="6">
        <f ca="1">('TUSD BE'!$AM$5+'TUSD BF'!$AM$5+'TUSD CVA'!$AM$5)*1</f>
        <v>99.83181108434475</v>
      </c>
      <c r="Z18" s="6">
        <f ca="1">('TUSD BE'!$AM$7+'TUSD BF'!$AM$7+'TUSD CVA'!$AM$7)*1</f>
        <v>104.33304759371407</v>
      </c>
      <c r="AA18" s="6">
        <f>('TE BE'!$AB$5+'TE BF'!$AB$5+'TE CVA'!$AB$5)*1</f>
        <v>166.7634981586946</v>
      </c>
      <c r="AB18" s="6">
        <f>$K$18*$V$18</f>
        <v>51953.020000000004</v>
      </c>
      <c r="AC18" s="6">
        <f>$M$18*$W$18</f>
        <v>2467.0110600000003</v>
      </c>
      <c r="AD18" s="6">
        <f>$O$18*$X$18</f>
        <v>6193.8717800000004</v>
      </c>
      <c r="AE18" s="6">
        <f ca="1">$K$18*$Y$18</f>
        <v>58002.282240004301</v>
      </c>
      <c r="AF18" s="6">
        <f ca="1">$M$18*$Z$18</f>
        <v>3479.1941381075831</v>
      </c>
      <c r="AG18" s="6">
        <f>$O$18*$AA$18</f>
        <v>5561.0623730979887</v>
      </c>
    </row>
    <row r="19" spans="1:33" ht="11.25" customHeight="1" x14ac:dyDescent="0.3">
      <c r="A19" s="4" t="s">
        <v>21</v>
      </c>
      <c r="B19" s="4" t="s">
        <v>37</v>
      </c>
      <c r="C19" s="4" t="s">
        <v>41</v>
      </c>
      <c r="D19" s="4" t="s">
        <v>40</v>
      </c>
      <c r="E19" s="4" t="s">
        <v>25</v>
      </c>
      <c r="F19" s="4" t="s">
        <v>25</v>
      </c>
      <c r="G19" s="4" t="s">
        <v>25</v>
      </c>
      <c r="H19" s="4" t="s">
        <v>39</v>
      </c>
      <c r="I19" s="5">
        <v>44593</v>
      </c>
      <c r="J19" s="6">
        <v>582</v>
      </c>
      <c r="K19" s="6">
        <v>582</v>
      </c>
      <c r="L19" s="6">
        <v>30.992000000000001</v>
      </c>
      <c r="M19" s="6">
        <v>30.992000000000001</v>
      </c>
      <c r="N19" s="6">
        <v>30.992000000000001</v>
      </c>
      <c r="O19" s="6">
        <v>30.992000000000001</v>
      </c>
      <c r="P19" s="6">
        <v>0</v>
      </c>
      <c r="Q19" s="4" t="s">
        <v>26</v>
      </c>
      <c r="R19" s="4">
        <v>0</v>
      </c>
      <c r="S19" s="6">
        <v>1</v>
      </c>
      <c r="T19" s="6">
        <v>6</v>
      </c>
      <c r="U19" s="6">
        <v>71</v>
      </c>
      <c r="V19" s="6">
        <f>IF(ISERROR(VLOOKUP($S$19,'TAR FIN'!$A$1:$O$85,15,0)),0,VLOOKUP($S$19,'TAR FIN'!$A$1:$O$85,15,0))</f>
        <v>89.42</v>
      </c>
      <c r="W19" s="6">
        <f>IF(ISERROR(VLOOKUP($T$19,'TAR FIN'!$A$1:$O$85,15,0)),0,VLOOKUP($T$19,'TAR FIN'!$A$1:$O$85,15,0))</f>
        <v>73.98</v>
      </c>
      <c r="X19" s="6">
        <f>IF(ISERROR(VLOOKUP($U$19,'TAR FIN'!$A$1:$O$85,15,0)),0,VLOOKUP($U$19,'TAR FIN'!$A$1:$O$85,15,0))</f>
        <v>185.74</v>
      </c>
      <c r="Y19" s="6">
        <f ca="1">('TUSD BE'!$AM$5+'TUSD BF'!$AM$5+'TUSD CVA'!$AM$5)*1</f>
        <v>99.83181108434475</v>
      </c>
      <c r="Z19" s="6">
        <f ca="1">('TUSD BE'!$AM$7+'TUSD BF'!$AM$7+'TUSD CVA'!$AM$7)*1</f>
        <v>104.33304759371407</v>
      </c>
      <c r="AA19" s="6">
        <f>('TE BE'!$AB$5+'TE BF'!$AB$5+'TE CVA'!$AB$5)*1</f>
        <v>166.7634981586946</v>
      </c>
      <c r="AB19" s="6">
        <f>$K$19*$V$19</f>
        <v>52042.44</v>
      </c>
      <c r="AC19" s="6">
        <f>$M$19*$W$19</f>
        <v>2292.7881600000001</v>
      </c>
      <c r="AD19" s="6">
        <f>$O$19*$X$19</f>
        <v>5756.4540800000004</v>
      </c>
      <c r="AE19" s="6">
        <f ca="1">$K$19*$Y$19</f>
        <v>58102.114051088647</v>
      </c>
      <c r="AF19" s="6">
        <f ca="1">$M$19*$Z$19</f>
        <v>3233.4898110243867</v>
      </c>
      <c r="AG19" s="6">
        <f>$O$19*$AA$19</f>
        <v>5168.3343349342631</v>
      </c>
    </row>
    <row r="20" spans="1:33" ht="11.25" customHeight="1" x14ac:dyDescent="0.3">
      <c r="A20" s="4" t="s">
        <v>21</v>
      </c>
      <c r="B20" s="4" t="s">
        <v>37</v>
      </c>
      <c r="C20" s="4" t="s">
        <v>41</v>
      </c>
      <c r="D20" s="4" t="s">
        <v>40</v>
      </c>
      <c r="E20" s="4" t="s">
        <v>25</v>
      </c>
      <c r="F20" s="4" t="s">
        <v>25</v>
      </c>
      <c r="G20" s="4" t="s">
        <v>25</v>
      </c>
      <c r="H20" s="4" t="s">
        <v>39</v>
      </c>
      <c r="I20" s="5">
        <v>44621</v>
      </c>
      <c r="J20" s="6">
        <v>527</v>
      </c>
      <c r="K20" s="6">
        <v>527</v>
      </c>
      <c r="L20" s="6">
        <v>33.256</v>
      </c>
      <c r="M20" s="6">
        <v>33.256</v>
      </c>
      <c r="N20" s="6">
        <v>33.256</v>
      </c>
      <c r="O20" s="6">
        <v>33.256</v>
      </c>
      <c r="P20" s="6">
        <v>0</v>
      </c>
      <c r="Q20" s="4" t="s">
        <v>26</v>
      </c>
      <c r="R20" s="4">
        <v>0</v>
      </c>
      <c r="S20" s="6">
        <v>1</v>
      </c>
      <c r="T20" s="6">
        <v>6</v>
      </c>
      <c r="U20" s="6">
        <v>71</v>
      </c>
      <c r="V20" s="6">
        <f>IF(ISERROR(VLOOKUP($S$20,'TAR FIN'!$A$1:$O$85,15,0)),0,VLOOKUP($S$20,'TAR FIN'!$A$1:$O$85,15,0))</f>
        <v>89.42</v>
      </c>
      <c r="W20" s="6">
        <f>IF(ISERROR(VLOOKUP($T$20,'TAR FIN'!$A$1:$O$85,15,0)),0,VLOOKUP($T$20,'TAR FIN'!$A$1:$O$85,15,0))</f>
        <v>73.98</v>
      </c>
      <c r="X20" s="6">
        <f>IF(ISERROR(VLOOKUP($U$20,'TAR FIN'!$A$1:$O$85,15,0)),0,VLOOKUP($U$20,'TAR FIN'!$A$1:$O$85,15,0))</f>
        <v>185.74</v>
      </c>
      <c r="Y20" s="6">
        <f ca="1">('TUSD BE'!$AM$5+'TUSD BF'!$AM$5+'TUSD CVA'!$AM$5)*1</f>
        <v>99.83181108434475</v>
      </c>
      <c r="Z20" s="6">
        <f ca="1">('TUSD BE'!$AM$7+'TUSD BF'!$AM$7+'TUSD CVA'!$AM$7)*1</f>
        <v>104.33304759371407</v>
      </c>
      <c r="AA20" s="6">
        <f>('TE BE'!$AB$5+'TE BF'!$AB$5+'TE CVA'!$AB$5)*1</f>
        <v>166.7634981586946</v>
      </c>
      <c r="AB20" s="6">
        <f>$K$20*$V$20</f>
        <v>47124.340000000004</v>
      </c>
      <c r="AC20" s="6">
        <f>$M$20*$W$20</f>
        <v>2460.2788800000003</v>
      </c>
      <c r="AD20" s="6">
        <f>$O$20*$X$20</f>
        <v>6176.9694400000008</v>
      </c>
      <c r="AE20" s="6">
        <f ca="1">$K$20*$Y$20</f>
        <v>52611.364441449681</v>
      </c>
      <c r="AF20" s="6">
        <f ca="1">$M$20*$Z$20</f>
        <v>3469.6998307765552</v>
      </c>
      <c r="AG20" s="6">
        <f>$O$20*$AA$20</f>
        <v>5545.8868947655474</v>
      </c>
    </row>
    <row r="21" spans="1:33" ht="11.25" customHeight="1" x14ac:dyDescent="0.3">
      <c r="A21" s="4" t="s">
        <v>21</v>
      </c>
      <c r="B21" s="4" t="s">
        <v>37</v>
      </c>
      <c r="C21" s="4" t="s">
        <v>41</v>
      </c>
      <c r="D21" s="4" t="s">
        <v>40</v>
      </c>
      <c r="E21" s="4" t="s">
        <v>25</v>
      </c>
      <c r="F21" s="4" t="s">
        <v>25</v>
      </c>
      <c r="G21" s="4" t="s">
        <v>25</v>
      </c>
      <c r="H21" s="4" t="s">
        <v>39</v>
      </c>
      <c r="I21" s="5">
        <v>44652</v>
      </c>
      <c r="J21" s="6">
        <v>527</v>
      </c>
      <c r="K21" s="6">
        <v>527</v>
      </c>
      <c r="L21" s="6">
        <v>25.899000000000001</v>
      </c>
      <c r="M21" s="6">
        <v>25.899000000000001</v>
      </c>
      <c r="N21" s="6">
        <v>25.899000000000001</v>
      </c>
      <c r="O21" s="6">
        <v>25.899000000000001</v>
      </c>
      <c r="P21" s="6">
        <v>0</v>
      </c>
      <c r="Q21" s="4" t="s">
        <v>26</v>
      </c>
      <c r="R21" s="4">
        <v>0</v>
      </c>
      <c r="S21" s="6">
        <v>1</v>
      </c>
      <c r="T21" s="6">
        <v>6</v>
      </c>
      <c r="U21" s="6">
        <v>71</v>
      </c>
      <c r="V21" s="6">
        <f>IF(ISERROR(VLOOKUP($S$21,'TAR FIN'!$A$1:$O$85,15,0)),0,VLOOKUP($S$21,'TAR FIN'!$A$1:$O$85,15,0))</f>
        <v>89.42</v>
      </c>
      <c r="W21" s="6">
        <f>IF(ISERROR(VLOOKUP($T$21,'TAR FIN'!$A$1:$O$85,15,0)),0,VLOOKUP($T$21,'TAR FIN'!$A$1:$O$85,15,0))</f>
        <v>73.98</v>
      </c>
      <c r="X21" s="6">
        <f>IF(ISERROR(VLOOKUP($U$21,'TAR FIN'!$A$1:$O$85,15,0)),0,VLOOKUP($U$21,'TAR FIN'!$A$1:$O$85,15,0))</f>
        <v>185.74</v>
      </c>
      <c r="Y21" s="6">
        <f ca="1">('TUSD BE'!$AM$5+'TUSD BF'!$AM$5+'TUSD CVA'!$AM$5)*1</f>
        <v>99.83181108434475</v>
      </c>
      <c r="Z21" s="6">
        <f ca="1">('TUSD BE'!$AM$7+'TUSD BF'!$AM$7+'TUSD CVA'!$AM$7)*1</f>
        <v>104.33304759371407</v>
      </c>
      <c r="AA21" s="6">
        <f>('TE BE'!$AB$5+'TE BF'!$AB$5+'TE CVA'!$AB$5)*1</f>
        <v>166.7634981586946</v>
      </c>
      <c r="AB21" s="6">
        <f>$K$21*$V$21</f>
        <v>47124.340000000004</v>
      </c>
      <c r="AC21" s="6">
        <f>$M$21*$W$21</f>
        <v>1916.0080200000002</v>
      </c>
      <c r="AD21" s="6">
        <f>$O$21*$X$21</f>
        <v>4810.4802600000003</v>
      </c>
      <c r="AE21" s="6">
        <f ca="1">$K$21*$Y$21</f>
        <v>52611.364441449681</v>
      </c>
      <c r="AF21" s="6">
        <f ca="1">$M$21*$Z$21</f>
        <v>2702.121599629601</v>
      </c>
      <c r="AG21" s="6">
        <f>$O$21*$AA$21</f>
        <v>4319.0078388120319</v>
      </c>
    </row>
    <row r="22" spans="1:33" ht="11.25" customHeight="1" x14ac:dyDescent="0.3">
      <c r="A22" s="4" t="s">
        <v>21</v>
      </c>
      <c r="B22" s="4" t="s">
        <v>37</v>
      </c>
      <c r="C22" s="4" t="s">
        <v>41</v>
      </c>
      <c r="D22" s="4" t="s">
        <v>40</v>
      </c>
      <c r="E22" s="4" t="s">
        <v>25</v>
      </c>
      <c r="F22" s="4" t="s">
        <v>25</v>
      </c>
      <c r="G22" s="4" t="s">
        <v>25</v>
      </c>
      <c r="H22" s="4" t="s">
        <v>39</v>
      </c>
      <c r="I22" s="5">
        <v>44682</v>
      </c>
      <c r="J22" s="6">
        <v>533</v>
      </c>
      <c r="K22" s="6">
        <v>533</v>
      </c>
      <c r="L22" s="6">
        <v>29.103000000000002</v>
      </c>
      <c r="M22" s="6">
        <v>29.103000000000002</v>
      </c>
      <c r="N22" s="6">
        <v>29.103000000000002</v>
      </c>
      <c r="O22" s="6">
        <v>29.103000000000002</v>
      </c>
      <c r="P22" s="6">
        <v>0</v>
      </c>
      <c r="Q22" s="4" t="s">
        <v>26</v>
      </c>
      <c r="R22" s="4">
        <v>0</v>
      </c>
      <c r="S22" s="6">
        <v>1</v>
      </c>
      <c r="T22" s="6">
        <v>6</v>
      </c>
      <c r="U22" s="6">
        <v>71</v>
      </c>
      <c r="V22" s="6">
        <f>IF(ISERROR(VLOOKUP($S$22,'TAR FIN'!$A$1:$O$85,15,0)),0,VLOOKUP($S$22,'TAR FIN'!$A$1:$O$85,15,0))</f>
        <v>89.42</v>
      </c>
      <c r="W22" s="6">
        <f>IF(ISERROR(VLOOKUP($T$22,'TAR FIN'!$A$1:$O$85,15,0)),0,VLOOKUP($T$22,'TAR FIN'!$A$1:$O$85,15,0))</f>
        <v>73.98</v>
      </c>
      <c r="X22" s="6">
        <f>IF(ISERROR(VLOOKUP($U$22,'TAR FIN'!$A$1:$O$85,15,0)),0,VLOOKUP($U$22,'TAR FIN'!$A$1:$O$85,15,0))</f>
        <v>185.74</v>
      </c>
      <c r="Y22" s="6">
        <f ca="1">('TUSD BE'!$AM$5+'TUSD BF'!$AM$5+'TUSD CVA'!$AM$5)*1</f>
        <v>99.83181108434475</v>
      </c>
      <c r="Z22" s="6">
        <f ca="1">('TUSD BE'!$AM$7+'TUSD BF'!$AM$7+'TUSD CVA'!$AM$7)*1</f>
        <v>104.33304759371407</v>
      </c>
      <c r="AA22" s="6">
        <f>('TE BE'!$AB$5+'TE BF'!$AB$5+'TE CVA'!$AB$5)*1</f>
        <v>166.7634981586946</v>
      </c>
      <c r="AB22" s="6">
        <f>$K$22*$V$22</f>
        <v>47660.86</v>
      </c>
      <c r="AC22" s="6">
        <f>$M$22*$W$22</f>
        <v>2153.0399400000001</v>
      </c>
      <c r="AD22" s="6">
        <f>$O$22*$X$22</f>
        <v>5405.5912200000002</v>
      </c>
      <c r="AE22" s="6">
        <f ca="1">$K$22*$Y$22</f>
        <v>53210.355307955753</v>
      </c>
      <c r="AF22" s="6">
        <f ca="1">$M$22*$Z$22</f>
        <v>3036.4046841198606</v>
      </c>
      <c r="AG22" s="6">
        <f>$O$22*$AA$22</f>
        <v>4853.318086912489</v>
      </c>
    </row>
    <row r="23" spans="1:33" ht="11.25" customHeight="1" x14ac:dyDescent="0.3">
      <c r="A23" s="4" t="s">
        <v>21</v>
      </c>
      <c r="B23" s="4" t="s">
        <v>37</v>
      </c>
      <c r="C23" s="4" t="s">
        <v>41</v>
      </c>
      <c r="D23" s="4" t="s">
        <v>40</v>
      </c>
      <c r="E23" s="4" t="s">
        <v>25</v>
      </c>
      <c r="F23" s="4" t="s">
        <v>25</v>
      </c>
      <c r="G23" s="4" t="s">
        <v>25</v>
      </c>
      <c r="H23" s="4" t="s">
        <v>39</v>
      </c>
      <c r="I23" s="5">
        <v>44713</v>
      </c>
      <c r="J23" s="6">
        <v>529</v>
      </c>
      <c r="K23" s="6">
        <v>529</v>
      </c>
      <c r="L23" s="6">
        <v>32.063000000000002</v>
      </c>
      <c r="M23" s="6">
        <v>32.063000000000002</v>
      </c>
      <c r="N23" s="6">
        <v>32.063000000000002</v>
      </c>
      <c r="O23" s="6">
        <v>32.063000000000002</v>
      </c>
      <c r="P23" s="6">
        <v>0</v>
      </c>
      <c r="Q23" s="4" t="s">
        <v>26</v>
      </c>
      <c r="R23" s="4">
        <v>0</v>
      </c>
      <c r="S23" s="6">
        <v>1</v>
      </c>
      <c r="T23" s="6">
        <v>6</v>
      </c>
      <c r="U23" s="6">
        <v>71</v>
      </c>
      <c r="V23" s="6">
        <f>IF(ISERROR(VLOOKUP($S$23,'TAR FIN'!$A$1:$O$85,15,0)),0,VLOOKUP($S$23,'TAR FIN'!$A$1:$O$85,15,0))</f>
        <v>89.42</v>
      </c>
      <c r="W23" s="6">
        <f>IF(ISERROR(VLOOKUP($T$23,'TAR FIN'!$A$1:$O$85,15,0)),0,VLOOKUP($T$23,'TAR FIN'!$A$1:$O$85,15,0))</f>
        <v>73.98</v>
      </c>
      <c r="X23" s="6">
        <f>IF(ISERROR(VLOOKUP($U$23,'TAR FIN'!$A$1:$O$85,15,0)),0,VLOOKUP($U$23,'TAR FIN'!$A$1:$O$85,15,0))</f>
        <v>185.74</v>
      </c>
      <c r="Y23" s="6">
        <f ca="1">('TUSD BE'!$AM$5+'TUSD BF'!$AM$5+'TUSD CVA'!$AM$5)*1</f>
        <v>99.83181108434475</v>
      </c>
      <c r="Z23" s="6">
        <f ca="1">('TUSD BE'!$AM$7+'TUSD BF'!$AM$7+'TUSD CVA'!$AM$7)*1</f>
        <v>104.33304759371407</v>
      </c>
      <c r="AA23" s="6">
        <f>('TE BE'!$AB$5+'TE BF'!$AB$5+'TE CVA'!$AB$5)*1</f>
        <v>166.7634981586946</v>
      </c>
      <c r="AB23" s="6">
        <f>$K$23*$V$23</f>
        <v>47303.18</v>
      </c>
      <c r="AC23" s="6">
        <f>$M$23*$W$23</f>
        <v>2372.0207400000004</v>
      </c>
      <c r="AD23" s="6">
        <f>$O$23*$X$23</f>
        <v>5955.381620000001</v>
      </c>
      <c r="AE23" s="6">
        <f ca="1">$K$23*$Y$23</f>
        <v>52811.028063618374</v>
      </c>
      <c r="AF23" s="6">
        <f ca="1">$M$23*$Z$23</f>
        <v>3345.2305049972547</v>
      </c>
      <c r="AG23" s="6">
        <f>$O$23*$AA$23</f>
        <v>5346.9380414622256</v>
      </c>
    </row>
    <row r="24" spans="1:33" ht="11.25" customHeight="1" x14ac:dyDescent="0.3">
      <c r="A24" s="4" t="s">
        <v>21</v>
      </c>
      <c r="B24" s="4" t="s">
        <v>37</v>
      </c>
      <c r="C24" s="4" t="s">
        <v>41</v>
      </c>
      <c r="D24" s="4" t="s">
        <v>40</v>
      </c>
      <c r="E24" s="4" t="s">
        <v>25</v>
      </c>
      <c r="F24" s="4" t="s">
        <v>25</v>
      </c>
      <c r="G24" s="4" t="s">
        <v>25</v>
      </c>
      <c r="H24" s="4" t="s">
        <v>39</v>
      </c>
      <c r="I24" s="5">
        <v>44743</v>
      </c>
      <c r="J24" s="6">
        <v>529</v>
      </c>
      <c r="K24" s="6">
        <v>529</v>
      </c>
      <c r="L24" s="6">
        <v>29.257000000000001</v>
      </c>
      <c r="M24" s="6">
        <v>29.257000000000001</v>
      </c>
      <c r="N24" s="6">
        <v>29.257000000000001</v>
      </c>
      <c r="O24" s="6">
        <v>29.257000000000001</v>
      </c>
      <c r="P24" s="6">
        <v>0</v>
      </c>
      <c r="Q24" s="4" t="s">
        <v>26</v>
      </c>
      <c r="R24" s="4">
        <v>0</v>
      </c>
      <c r="S24" s="6">
        <v>1</v>
      </c>
      <c r="T24" s="6">
        <v>6</v>
      </c>
      <c r="U24" s="6">
        <v>71</v>
      </c>
      <c r="V24" s="6">
        <f>IF(ISERROR(VLOOKUP($S$24,'TAR FIN'!$A$1:$O$85,15,0)),0,VLOOKUP($S$24,'TAR FIN'!$A$1:$O$85,15,0))</f>
        <v>89.42</v>
      </c>
      <c r="W24" s="6">
        <f>IF(ISERROR(VLOOKUP($T$24,'TAR FIN'!$A$1:$O$85,15,0)),0,VLOOKUP($T$24,'TAR FIN'!$A$1:$O$85,15,0))</f>
        <v>73.98</v>
      </c>
      <c r="X24" s="6">
        <f>IF(ISERROR(VLOOKUP($U$24,'TAR FIN'!$A$1:$O$85,15,0)),0,VLOOKUP($U$24,'TAR FIN'!$A$1:$O$85,15,0))</f>
        <v>185.74</v>
      </c>
      <c r="Y24" s="6">
        <f ca="1">('TUSD BE'!$AM$5+'TUSD BF'!$AM$5+'TUSD CVA'!$AM$5)*1</f>
        <v>99.83181108434475</v>
      </c>
      <c r="Z24" s="6">
        <f ca="1">('TUSD BE'!$AM$7+'TUSD BF'!$AM$7+'TUSD CVA'!$AM$7)*1</f>
        <v>104.33304759371407</v>
      </c>
      <c r="AA24" s="6">
        <f>('TE BE'!$AB$5+'TE BF'!$AB$5+'TE CVA'!$AB$5)*1</f>
        <v>166.7634981586946</v>
      </c>
      <c r="AB24" s="6">
        <f>$K$24*$V$24</f>
        <v>47303.18</v>
      </c>
      <c r="AC24" s="6">
        <f>$M$24*$W$24</f>
        <v>2164.4328600000003</v>
      </c>
      <c r="AD24" s="6">
        <f>$O$24*$X$24</f>
        <v>5434.1951800000006</v>
      </c>
      <c r="AE24" s="6">
        <f ca="1">$K$24*$Y$24</f>
        <v>52811.028063618374</v>
      </c>
      <c r="AF24" s="6">
        <f ca="1">$M$24*$Z$24</f>
        <v>3052.4719734492928</v>
      </c>
      <c r="AG24" s="6">
        <f>$O$24*$AA$24</f>
        <v>4878.9996656289286</v>
      </c>
    </row>
    <row r="25" spans="1:33" ht="11.25" customHeight="1" x14ac:dyDescent="0.3">
      <c r="A25" s="4" t="s">
        <v>21</v>
      </c>
      <c r="B25" s="4" t="s">
        <v>37</v>
      </c>
      <c r="C25" s="4" t="s">
        <v>41</v>
      </c>
      <c r="D25" s="4" t="s">
        <v>40</v>
      </c>
      <c r="E25" s="4" t="s">
        <v>25</v>
      </c>
      <c r="F25" s="4" t="s">
        <v>25</v>
      </c>
      <c r="G25" s="4" t="s">
        <v>25</v>
      </c>
      <c r="H25" s="4" t="s">
        <v>39</v>
      </c>
      <c r="I25" s="5">
        <v>44774</v>
      </c>
      <c r="J25" s="6">
        <v>533</v>
      </c>
      <c r="K25" s="6">
        <v>533</v>
      </c>
      <c r="L25" s="6">
        <v>35.159999999999997</v>
      </c>
      <c r="M25" s="6">
        <v>35.159999999999997</v>
      </c>
      <c r="N25" s="6">
        <v>35.159999999999997</v>
      </c>
      <c r="O25" s="6">
        <v>35.159999999999997</v>
      </c>
      <c r="P25" s="6">
        <v>0</v>
      </c>
      <c r="Q25" s="4" t="s">
        <v>26</v>
      </c>
      <c r="R25" s="4">
        <v>0</v>
      </c>
      <c r="S25" s="6">
        <v>1</v>
      </c>
      <c r="T25" s="6">
        <v>6</v>
      </c>
      <c r="U25" s="6">
        <v>71</v>
      </c>
      <c r="V25" s="6">
        <f>IF(ISERROR(VLOOKUP($S$25,'TAR FIN'!$A$1:$O$85,15,0)),0,VLOOKUP($S$25,'TAR FIN'!$A$1:$O$85,15,0))</f>
        <v>89.42</v>
      </c>
      <c r="W25" s="6">
        <f>IF(ISERROR(VLOOKUP($T$25,'TAR FIN'!$A$1:$O$85,15,0)),0,VLOOKUP($T$25,'TAR FIN'!$A$1:$O$85,15,0))</f>
        <v>73.98</v>
      </c>
      <c r="X25" s="6">
        <f>IF(ISERROR(VLOOKUP($U$25,'TAR FIN'!$A$1:$O$85,15,0)),0,VLOOKUP($U$25,'TAR FIN'!$A$1:$O$85,15,0))</f>
        <v>185.74</v>
      </c>
      <c r="Y25" s="6">
        <f ca="1">('TUSD BE'!$AM$5+'TUSD BF'!$AM$5+'TUSD CVA'!$AM$5)*1</f>
        <v>99.83181108434475</v>
      </c>
      <c r="Z25" s="6">
        <f ca="1">('TUSD BE'!$AM$7+'TUSD BF'!$AM$7+'TUSD CVA'!$AM$7)*1</f>
        <v>104.33304759371407</v>
      </c>
      <c r="AA25" s="6">
        <f>('TE BE'!$AB$5+'TE BF'!$AB$5+'TE CVA'!$AB$5)*1</f>
        <v>166.7634981586946</v>
      </c>
      <c r="AB25" s="6">
        <f>$K$25*$V$25</f>
        <v>47660.86</v>
      </c>
      <c r="AC25" s="6">
        <f>$M$25*$W$25</f>
        <v>2601.1367999999998</v>
      </c>
      <c r="AD25" s="6">
        <f>$O$25*$X$25</f>
        <v>6530.6183999999994</v>
      </c>
      <c r="AE25" s="6">
        <f ca="1">$K$25*$Y$25</f>
        <v>53210.355307955753</v>
      </c>
      <c r="AF25" s="6">
        <f ca="1">$M$25*$Z$25</f>
        <v>3668.3499533949862</v>
      </c>
      <c r="AG25" s="6">
        <f>$O$25*$AA$25</f>
        <v>5863.4045952597016</v>
      </c>
    </row>
    <row r="26" spans="1:33" ht="11.25" customHeight="1" x14ac:dyDescent="0.3">
      <c r="A26" s="4" t="s">
        <v>21</v>
      </c>
      <c r="B26" s="4" t="s">
        <v>37</v>
      </c>
      <c r="C26" s="4" t="s">
        <v>38</v>
      </c>
      <c r="D26" s="4" t="s">
        <v>40</v>
      </c>
      <c r="E26" s="4" t="s">
        <v>25</v>
      </c>
      <c r="F26" s="4" t="s">
        <v>25</v>
      </c>
      <c r="G26" s="4" t="s">
        <v>25</v>
      </c>
      <c r="H26" s="4" t="s">
        <v>34</v>
      </c>
      <c r="I26" s="5">
        <v>44440</v>
      </c>
      <c r="J26" s="6">
        <v>0</v>
      </c>
      <c r="K26" s="6">
        <v>0</v>
      </c>
      <c r="L26" s="6">
        <v>347.08499999999998</v>
      </c>
      <c r="M26" s="6">
        <v>347.08499999999998</v>
      </c>
      <c r="N26" s="6">
        <v>347.08499999999998</v>
      </c>
      <c r="O26" s="6">
        <v>347.08499999999998</v>
      </c>
      <c r="P26" s="6">
        <v>0</v>
      </c>
      <c r="Q26" s="4" t="s">
        <v>26</v>
      </c>
      <c r="R26" s="4">
        <v>0</v>
      </c>
      <c r="S26" s="6">
        <v>0</v>
      </c>
      <c r="T26" s="6">
        <v>16</v>
      </c>
      <c r="U26" s="6">
        <v>72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73.98</v>
      </c>
      <c r="X26" s="6">
        <f>IF(ISERROR(VLOOKUP($U$26,'TAR FIN'!$A$1:$O$85,15,0)),0,VLOOKUP($U$26,'TAR FIN'!$A$1:$O$85,15,0))</f>
        <v>185.74</v>
      </c>
      <c r="Y26" s="6"/>
      <c r="Z26" s="6">
        <f ca="1">('TUSD BE'!$AM$12+'TUSD BF'!$AM$12+'TUSD CVA'!$AM$12)*1</f>
        <v>104.33304759371407</v>
      </c>
      <c r="AA26" s="6">
        <f>('TE BE'!$AB$6+'TE BF'!$AB$6+'TE CVA'!$AB$6)*1</f>
        <v>166.7634981586946</v>
      </c>
      <c r="AB26" s="6">
        <f>$K$26*$V$26</f>
        <v>0</v>
      </c>
      <c r="AC26" s="6">
        <f>$M$26*$W$26</f>
        <v>25677.348300000001</v>
      </c>
      <c r="AD26" s="6">
        <f>$O$26*$X$26</f>
        <v>64467.567900000002</v>
      </c>
      <c r="AE26" s="6">
        <f>$K$26*$Y$26</f>
        <v>0</v>
      </c>
      <c r="AF26" s="6">
        <f ca="1">$M$26*$Z$26</f>
        <v>36212.435824064247</v>
      </c>
      <c r="AG26" s="6">
        <f>$O$26*$AA$26</f>
        <v>57881.108758410512</v>
      </c>
    </row>
    <row r="27" spans="1:33" ht="11.25" customHeight="1" x14ac:dyDescent="0.3">
      <c r="A27" s="4" t="s">
        <v>21</v>
      </c>
      <c r="B27" s="4" t="s">
        <v>37</v>
      </c>
      <c r="C27" s="4" t="s">
        <v>38</v>
      </c>
      <c r="D27" s="4" t="s">
        <v>40</v>
      </c>
      <c r="E27" s="4" t="s">
        <v>25</v>
      </c>
      <c r="F27" s="4" t="s">
        <v>25</v>
      </c>
      <c r="G27" s="4" t="s">
        <v>25</v>
      </c>
      <c r="H27" s="4" t="s">
        <v>34</v>
      </c>
      <c r="I27" s="5">
        <v>44470</v>
      </c>
      <c r="J27" s="6">
        <v>0</v>
      </c>
      <c r="K27" s="6">
        <v>0</v>
      </c>
      <c r="L27" s="6">
        <v>328.233</v>
      </c>
      <c r="M27" s="6">
        <v>328.233</v>
      </c>
      <c r="N27" s="6">
        <v>328.233</v>
      </c>
      <c r="O27" s="6">
        <v>328.233</v>
      </c>
      <c r="P27" s="6">
        <v>0</v>
      </c>
      <c r="Q27" s="4" t="s">
        <v>26</v>
      </c>
      <c r="R27" s="4">
        <v>0</v>
      </c>
      <c r="S27" s="6">
        <v>0</v>
      </c>
      <c r="T27" s="6">
        <v>16</v>
      </c>
      <c r="U27" s="6">
        <v>72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73.98</v>
      </c>
      <c r="X27" s="6">
        <f>IF(ISERROR(VLOOKUP($U$27,'TAR FIN'!$A$1:$O$85,15,0)),0,VLOOKUP($U$27,'TAR FIN'!$A$1:$O$85,15,0))</f>
        <v>185.74</v>
      </c>
      <c r="Y27" s="6"/>
      <c r="Z27" s="6">
        <f ca="1">('TUSD BE'!$AM$12+'TUSD BF'!$AM$12+'TUSD CVA'!$AM$12)*1</f>
        <v>104.33304759371407</v>
      </c>
      <c r="AA27" s="6">
        <f>('TE BE'!$AB$6+'TE BF'!$AB$6+'TE CVA'!$AB$6)*1</f>
        <v>166.7634981586946</v>
      </c>
      <c r="AB27" s="6">
        <f>$K$27*$V$27</f>
        <v>0</v>
      </c>
      <c r="AC27" s="6">
        <f>$M$27*$W$27</f>
        <v>24282.677340000002</v>
      </c>
      <c r="AD27" s="6">
        <f>$O$27*$X$27</f>
        <v>60965.997420000007</v>
      </c>
      <c r="AE27" s="6">
        <f>$K$27*$Y$27</f>
        <v>0</v>
      </c>
      <c r="AF27" s="6">
        <f ca="1">$M$27*$Z$27</f>
        <v>34245.54921082755</v>
      </c>
      <c r="AG27" s="6">
        <f>$O$27*$AA$27</f>
        <v>54737.283291122803</v>
      </c>
    </row>
    <row r="28" spans="1:33" ht="11.25" customHeight="1" x14ac:dyDescent="0.3">
      <c r="A28" s="4" t="s">
        <v>21</v>
      </c>
      <c r="B28" s="4" t="s">
        <v>37</v>
      </c>
      <c r="C28" s="4" t="s">
        <v>38</v>
      </c>
      <c r="D28" s="4" t="s">
        <v>40</v>
      </c>
      <c r="E28" s="4" t="s">
        <v>25</v>
      </c>
      <c r="F28" s="4" t="s">
        <v>25</v>
      </c>
      <c r="G28" s="4" t="s">
        <v>25</v>
      </c>
      <c r="H28" s="4" t="s">
        <v>34</v>
      </c>
      <c r="I28" s="5">
        <v>44501</v>
      </c>
      <c r="J28" s="6">
        <v>0</v>
      </c>
      <c r="K28" s="6">
        <v>0</v>
      </c>
      <c r="L28" s="6">
        <v>341.13799999999998</v>
      </c>
      <c r="M28" s="6">
        <v>341.13799999999998</v>
      </c>
      <c r="N28" s="6">
        <v>341.13799999999998</v>
      </c>
      <c r="O28" s="6">
        <v>341.13799999999998</v>
      </c>
      <c r="P28" s="6">
        <v>0</v>
      </c>
      <c r="Q28" s="4" t="s">
        <v>26</v>
      </c>
      <c r="R28" s="4">
        <v>0</v>
      </c>
      <c r="S28" s="6">
        <v>0</v>
      </c>
      <c r="T28" s="6">
        <v>16</v>
      </c>
      <c r="U28" s="6">
        <v>72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73.98</v>
      </c>
      <c r="X28" s="6">
        <f>IF(ISERROR(VLOOKUP($U$28,'TAR FIN'!$A$1:$O$85,15,0)),0,VLOOKUP($U$28,'TAR FIN'!$A$1:$O$85,15,0))</f>
        <v>185.74</v>
      </c>
      <c r="Y28" s="6"/>
      <c r="Z28" s="6">
        <f ca="1">('TUSD BE'!$AM$12+'TUSD BF'!$AM$12+'TUSD CVA'!$AM$12)*1</f>
        <v>104.33304759371407</v>
      </c>
      <c r="AA28" s="6">
        <f>('TE BE'!$AB$6+'TE BF'!$AB$6+'TE CVA'!$AB$6)*1</f>
        <v>166.7634981586946</v>
      </c>
      <c r="AB28" s="6">
        <f>$K$28*$V$28</f>
        <v>0</v>
      </c>
      <c r="AC28" s="6">
        <f>$M$28*$W$28</f>
        <v>25237.38924</v>
      </c>
      <c r="AD28" s="6">
        <f>$O$28*$X$28</f>
        <v>63362.972119999999</v>
      </c>
      <c r="AE28" s="6">
        <f>$K$28*$Y$28</f>
        <v>0</v>
      </c>
      <c r="AF28" s="6">
        <f ca="1">$M$28*$Z$28</f>
        <v>35591.967190024428</v>
      </c>
      <c r="AG28" s="6">
        <f>$O$28*$AA$28</f>
        <v>56889.366234860754</v>
      </c>
    </row>
    <row r="29" spans="1:33" ht="11.25" customHeight="1" x14ac:dyDescent="0.3">
      <c r="A29" s="4" t="s">
        <v>21</v>
      </c>
      <c r="B29" s="4" t="s">
        <v>37</v>
      </c>
      <c r="C29" s="4" t="s">
        <v>38</v>
      </c>
      <c r="D29" s="4" t="s">
        <v>40</v>
      </c>
      <c r="E29" s="4" t="s">
        <v>25</v>
      </c>
      <c r="F29" s="4" t="s">
        <v>25</v>
      </c>
      <c r="G29" s="4" t="s">
        <v>25</v>
      </c>
      <c r="H29" s="4" t="s">
        <v>34</v>
      </c>
      <c r="I29" s="5">
        <v>44531</v>
      </c>
      <c r="J29" s="6">
        <v>0</v>
      </c>
      <c r="K29" s="6">
        <v>0</v>
      </c>
      <c r="L29" s="6">
        <v>341.05599999999998</v>
      </c>
      <c r="M29" s="6">
        <v>341.05599999999998</v>
      </c>
      <c r="N29" s="6">
        <v>341.05599999999998</v>
      </c>
      <c r="O29" s="6">
        <v>341.05599999999998</v>
      </c>
      <c r="P29" s="6">
        <v>0</v>
      </c>
      <c r="Q29" s="4" t="s">
        <v>26</v>
      </c>
      <c r="R29" s="4">
        <v>0</v>
      </c>
      <c r="S29" s="6">
        <v>0</v>
      </c>
      <c r="T29" s="6">
        <v>16</v>
      </c>
      <c r="U29" s="6">
        <v>72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73.98</v>
      </c>
      <c r="X29" s="6">
        <f>IF(ISERROR(VLOOKUP($U$29,'TAR FIN'!$A$1:$O$85,15,0)),0,VLOOKUP($U$29,'TAR FIN'!$A$1:$O$85,15,0))</f>
        <v>185.74</v>
      </c>
      <c r="Y29" s="6"/>
      <c r="Z29" s="6">
        <f ca="1">('TUSD BE'!$AM$12+'TUSD BF'!$AM$12+'TUSD CVA'!$AM$12)*1</f>
        <v>104.33304759371407</v>
      </c>
      <c r="AA29" s="6">
        <f>('TE BE'!$AB$6+'TE BF'!$AB$6+'TE CVA'!$AB$6)*1</f>
        <v>166.7634981586946</v>
      </c>
      <c r="AB29" s="6">
        <f>$K$29*$V$29</f>
        <v>0</v>
      </c>
      <c r="AC29" s="6">
        <f>$M$29*$W$29</f>
        <v>25231.32288</v>
      </c>
      <c r="AD29" s="6">
        <f>$O$29*$X$29</f>
        <v>63347.741439999998</v>
      </c>
      <c r="AE29" s="6">
        <f>$K$29*$Y$29</f>
        <v>0</v>
      </c>
      <c r="AF29" s="6">
        <f ca="1">$M$29*$Z$29</f>
        <v>35583.411880121741</v>
      </c>
      <c r="AG29" s="6">
        <f>$O$29*$AA$29</f>
        <v>56875.691628011744</v>
      </c>
    </row>
    <row r="30" spans="1:33" ht="11.25" customHeight="1" x14ac:dyDescent="0.3">
      <c r="A30" s="4" t="s">
        <v>21</v>
      </c>
      <c r="B30" s="4" t="s">
        <v>37</v>
      </c>
      <c r="C30" s="4" t="s">
        <v>38</v>
      </c>
      <c r="D30" s="4" t="s">
        <v>40</v>
      </c>
      <c r="E30" s="4" t="s">
        <v>25</v>
      </c>
      <c r="F30" s="4" t="s">
        <v>25</v>
      </c>
      <c r="G30" s="4" t="s">
        <v>25</v>
      </c>
      <c r="H30" s="4" t="s">
        <v>34</v>
      </c>
      <c r="I30" s="5">
        <v>44562</v>
      </c>
      <c r="J30" s="6">
        <v>0</v>
      </c>
      <c r="K30" s="6">
        <v>0</v>
      </c>
      <c r="L30" s="6">
        <v>300.54700000000003</v>
      </c>
      <c r="M30" s="6">
        <v>300.54700000000003</v>
      </c>
      <c r="N30" s="6">
        <v>300.54700000000003</v>
      </c>
      <c r="O30" s="6">
        <v>300.54700000000003</v>
      </c>
      <c r="P30" s="6">
        <v>0</v>
      </c>
      <c r="Q30" s="4" t="s">
        <v>26</v>
      </c>
      <c r="R30" s="4">
        <v>0</v>
      </c>
      <c r="S30" s="6">
        <v>0</v>
      </c>
      <c r="T30" s="6">
        <v>16</v>
      </c>
      <c r="U30" s="6">
        <v>72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73.98</v>
      </c>
      <c r="X30" s="6">
        <f>IF(ISERROR(VLOOKUP($U$30,'TAR FIN'!$A$1:$O$85,15,0)),0,VLOOKUP($U$30,'TAR FIN'!$A$1:$O$85,15,0))</f>
        <v>185.74</v>
      </c>
      <c r="Y30" s="6"/>
      <c r="Z30" s="6">
        <f ca="1">('TUSD BE'!$AM$12+'TUSD BF'!$AM$12+'TUSD CVA'!$AM$12)*1</f>
        <v>104.33304759371407</v>
      </c>
      <c r="AA30" s="6">
        <f>('TE BE'!$AB$6+'TE BF'!$AB$6+'TE CVA'!$AB$6)*1</f>
        <v>166.7634981586946</v>
      </c>
      <c r="AB30" s="6">
        <f>$K$30*$V$30</f>
        <v>0</v>
      </c>
      <c r="AC30" s="6">
        <f>$M$30*$W$30</f>
        <v>22234.467060000003</v>
      </c>
      <c r="AD30" s="6">
        <f>$O$30*$X$30</f>
        <v>55823.599780000004</v>
      </c>
      <c r="AE30" s="6">
        <f>$K$30*$Y$30</f>
        <v>0</v>
      </c>
      <c r="AF30" s="6">
        <f ca="1">$M$30*$Z$30</f>
        <v>31356.984455147984</v>
      </c>
      <c r="AG30" s="6">
        <f>$O$30*$AA$30</f>
        <v>50120.269081101193</v>
      </c>
    </row>
    <row r="31" spans="1:33" ht="11.25" customHeight="1" x14ac:dyDescent="0.3">
      <c r="A31" s="4" t="s">
        <v>21</v>
      </c>
      <c r="B31" s="4" t="s">
        <v>37</v>
      </c>
      <c r="C31" s="4" t="s">
        <v>38</v>
      </c>
      <c r="D31" s="4" t="s">
        <v>40</v>
      </c>
      <c r="E31" s="4" t="s">
        <v>25</v>
      </c>
      <c r="F31" s="4" t="s">
        <v>25</v>
      </c>
      <c r="G31" s="4" t="s">
        <v>25</v>
      </c>
      <c r="H31" s="4" t="s">
        <v>34</v>
      </c>
      <c r="I31" s="5">
        <v>44593</v>
      </c>
      <c r="J31" s="6">
        <v>0</v>
      </c>
      <c r="K31" s="6">
        <v>0</v>
      </c>
      <c r="L31" s="6">
        <v>308.56799999999998</v>
      </c>
      <c r="M31" s="6">
        <v>308.56799999999998</v>
      </c>
      <c r="N31" s="6">
        <v>308.56799999999998</v>
      </c>
      <c r="O31" s="6">
        <v>308.56799999999998</v>
      </c>
      <c r="P31" s="6">
        <v>0</v>
      </c>
      <c r="Q31" s="4" t="s">
        <v>26</v>
      </c>
      <c r="R31" s="4">
        <v>0</v>
      </c>
      <c r="S31" s="6">
        <v>0</v>
      </c>
      <c r="T31" s="6">
        <v>16</v>
      </c>
      <c r="U31" s="6">
        <v>72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73.98</v>
      </c>
      <c r="X31" s="6">
        <f>IF(ISERROR(VLOOKUP($U$31,'TAR FIN'!$A$1:$O$85,15,0)),0,VLOOKUP($U$31,'TAR FIN'!$A$1:$O$85,15,0))</f>
        <v>185.74</v>
      </c>
      <c r="Y31" s="6"/>
      <c r="Z31" s="6">
        <f ca="1">('TUSD BE'!$AM$12+'TUSD BF'!$AM$12+'TUSD CVA'!$AM$12)*1</f>
        <v>104.33304759371407</v>
      </c>
      <c r="AA31" s="6">
        <f>('TE BE'!$AB$6+'TE BF'!$AB$6+'TE CVA'!$AB$6)*1</f>
        <v>166.7634981586946</v>
      </c>
      <c r="AB31" s="6">
        <f>$K$31*$V$31</f>
        <v>0</v>
      </c>
      <c r="AC31" s="6">
        <f>$M$31*$W$31</f>
        <v>22827.860639999999</v>
      </c>
      <c r="AD31" s="6">
        <f>$O$31*$X$31</f>
        <v>57313.420319999997</v>
      </c>
      <c r="AE31" s="6">
        <f>$K$31*$Y$31</f>
        <v>0</v>
      </c>
      <c r="AF31" s="6">
        <f ca="1">$M$31*$Z$31</f>
        <v>32193.839829897162</v>
      </c>
      <c r="AG31" s="6">
        <f>$O$31*$AA$31</f>
        <v>51457.879099832076</v>
      </c>
    </row>
    <row r="32" spans="1:33" ht="11.25" customHeight="1" x14ac:dyDescent="0.3">
      <c r="A32" s="4" t="s">
        <v>21</v>
      </c>
      <c r="B32" s="4" t="s">
        <v>37</v>
      </c>
      <c r="C32" s="4" t="s">
        <v>38</v>
      </c>
      <c r="D32" s="4" t="s">
        <v>40</v>
      </c>
      <c r="E32" s="4" t="s">
        <v>25</v>
      </c>
      <c r="F32" s="4" t="s">
        <v>25</v>
      </c>
      <c r="G32" s="4" t="s">
        <v>25</v>
      </c>
      <c r="H32" s="4" t="s">
        <v>34</v>
      </c>
      <c r="I32" s="5">
        <v>44621</v>
      </c>
      <c r="J32" s="6">
        <v>0</v>
      </c>
      <c r="K32" s="6">
        <v>0</v>
      </c>
      <c r="L32" s="6">
        <v>341.32</v>
      </c>
      <c r="M32" s="6">
        <v>341.32</v>
      </c>
      <c r="N32" s="6">
        <v>341.32</v>
      </c>
      <c r="O32" s="6">
        <v>341.32</v>
      </c>
      <c r="P32" s="6">
        <v>0</v>
      </c>
      <c r="Q32" s="4" t="s">
        <v>26</v>
      </c>
      <c r="R32" s="4">
        <v>0</v>
      </c>
      <c r="S32" s="6">
        <v>0</v>
      </c>
      <c r="T32" s="6">
        <v>16</v>
      </c>
      <c r="U32" s="6">
        <v>72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73.98</v>
      </c>
      <c r="X32" s="6">
        <f>IF(ISERROR(VLOOKUP($U$32,'TAR FIN'!$A$1:$O$85,15,0)),0,VLOOKUP($U$32,'TAR FIN'!$A$1:$O$85,15,0))</f>
        <v>185.74</v>
      </c>
      <c r="Y32" s="6"/>
      <c r="Z32" s="6">
        <f ca="1">('TUSD BE'!$AM$12+'TUSD BF'!$AM$12+'TUSD CVA'!$AM$12)*1</f>
        <v>104.33304759371407</v>
      </c>
      <c r="AA32" s="6">
        <f>('TE BE'!$AB$6+'TE BF'!$AB$6+'TE CVA'!$AB$6)*1</f>
        <v>166.7634981586946</v>
      </c>
      <c r="AB32" s="6">
        <f>$K$32*$V$32</f>
        <v>0</v>
      </c>
      <c r="AC32" s="6">
        <f>$M$32*$W$32</f>
        <v>25250.853600000002</v>
      </c>
      <c r="AD32" s="6">
        <f>$O$32*$X$32</f>
        <v>63396.7768</v>
      </c>
      <c r="AE32" s="6">
        <f>$K$32*$Y$32</f>
        <v>0</v>
      </c>
      <c r="AF32" s="6">
        <f ca="1">$M$32*$Z$32</f>
        <v>35610.955804686484</v>
      </c>
      <c r="AG32" s="6">
        <f>$O$32*$AA$32</f>
        <v>56919.71719152564</v>
      </c>
    </row>
    <row r="33" spans="1:33" ht="11.25" customHeight="1" x14ac:dyDescent="0.3">
      <c r="A33" s="4" t="s">
        <v>21</v>
      </c>
      <c r="B33" s="4" t="s">
        <v>37</v>
      </c>
      <c r="C33" s="4" t="s">
        <v>38</v>
      </c>
      <c r="D33" s="4" t="s">
        <v>40</v>
      </c>
      <c r="E33" s="4" t="s">
        <v>25</v>
      </c>
      <c r="F33" s="4" t="s">
        <v>25</v>
      </c>
      <c r="G33" s="4" t="s">
        <v>25</v>
      </c>
      <c r="H33" s="4" t="s">
        <v>34</v>
      </c>
      <c r="I33" s="5">
        <v>44652</v>
      </c>
      <c r="J33" s="6">
        <v>0</v>
      </c>
      <c r="K33" s="6">
        <v>0</v>
      </c>
      <c r="L33" s="6">
        <v>390.05599999999998</v>
      </c>
      <c r="M33" s="6">
        <v>390.05599999999998</v>
      </c>
      <c r="N33" s="6">
        <v>390.05599999999998</v>
      </c>
      <c r="O33" s="6">
        <v>390.05599999999998</v>
      </c>
      <c r="P33" s="6">
        <v>0</v>
      </c>
      <c r="Q33" s="4" t="s">
        <v>26</v>
      </c>
      <c r="R33" s="4">
        <v>0</v>
      </c>
      <c r="S33" s="6">
        <v>0</v>
      </c>
      <c r="T33" s="6">
        <v>16</v>
      </c>
      <c r="U33" s="6">
        <v>72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73.98</v>
      </c>
      <c r="X33" s="6">
        <f>IF(ISERROR(VLOOKUP($U$33,'TAR FIN'!$A$1:$O$85,15,0)),0,VLOOKUP($U$33,'TAR FIN'!$A$1:$O$85,15,0))</f>
        <v>185.74</v>
      </c>
      <c r="Y33" s="6"/>
      <c r="Z33" s="6">
        <f ca="1">('TUSD BE'!$AM$12+'TUSD BF'!$AM$12+'TUSD CVA'!$AM$12)*1</f>
        <v>104.33304759371407</v>
      </c>
      <c r="AA33" s="6">
        <f>('TE BE'!$AB$6+'TE BF'!$AB$6+'TE CVA'!$AB$6)*1</f>
        <v>166.7634981586946</v>
      </c>
      <c r="AB33" s="6">
        <f>$K$33*$V$33</f>
        <v>0</v>
      </c>
      <c r="AC33" s="6">
        <f>$M$33*$W$33</f>
        <v>28856.34288</v>
      </c>
      <c r="AD33" s="6">
        <f>$O$33*$X$33</f>
        <v>72449.001440000007</v>
      </c>
      <c r="AE33" s="6">
        <f>$K$33*$Y$33</f>
        <v>0</v>
      </c>
      <c r="AF33" s="6">
        <f ca="1">$M$33*$Z$33</f>
        <v>40695.731212213737</v>
      </c>
      <c r="AG33" s="6">
        <f>$O$33*$AA$33</f>
        <v>65047.103037787776</v>
      </c>
    </row>
    <row r="34" spans="1:33" ht="11.25" customHeight="1" x14ac:dyDescent="0.3">
      <c r="A34" s="4" t="s">
        <v>21</v>
      </c>
      <c r="B34" s="4" t="s">
        <v>37</v>
      </c>
      <c r="C34" s="4" t="s">
        <v>38</v>
      </c>
      <c r="D34" s="4" t="s">
        <v>40</v>
      </c>
      <c r="E34" s="4" t="s">
        <v>25</v>
      </c>
      <c r="F34" s="4" t="s">
        <v>25</v>
      </c>
      <c r="G34" s="4" t="s">
        <v>25</v>
      </c>
      <c r="H34" s="4" t="s">
        <v>34</v>
      </c>
      <c r="I34" s="5">
        <v>44682</v>
      </c>
      <c r="J34" s="6">
        <v>0</v>
      </c>
      <c r="K34" s="6">
        <v>0</v>
      </c>
      <c r="L34" s="6">
        <v>411.096</v>
      </c>
      <c r="M34" s="6">
        <v>411.096</v>
      </c>
      <c r="N34" s="6">
        <v>411.096</v>
      </c>
      <c r="O34" s="6">
        <v>411.096</v>
      </c>
      <c r="P34" s="6">
        <v>0</v>
      </c>
      <c r="Q34" s="4" t="s">
        <v>26</v>
      </c>
      <c r="R34" s="4">
        <v>0</v>
      </c>
      <c r="S34" s="6">
        <v>0</v>
      </c>
      <c r="T34" s="6">
        <v>16</v>
      </c>
      <c r="U34" s="6">
        <v>72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73.98</v>
      </c>
      <c r="X34" s="6">
        <f>IF(ISERROR(VLOOKUP($U$34,'TAR FIN'!$A$1:$O$85,15,0)),0,VLOOKUP($U$34,'TAR FIN'!$A$1:$O$85,15,0))</f>
        <v>185.74</v>
      </c>
      <c r="Y34" s="6"/>
      <c r="Z34" s="6">
        <f ca="1">('TUSD BE'!$AM$12+'TUSD BF'!$AM$12+'TUSD CVA'!$AM$12)*1</f>
        <v>104.33304759371407</v>
      </c>
      <c r="AA34" s="6">
        <f>('TE BE'!$AB$6+'TE BF'!$AB$6+'TE CVA'!$AB$6)*1</f>
        <v>166.7634981586946</v>
      </c>
      <c r="AB34" s="6">
        <f>$K$34*$V$34</f>
        <v>0</v>
      </c>
      <c r="AC34" s="6">
        <f>$M$34*$W$34</f>
        <v>30412.882080000003</v>
      </c>
      <c r="AD34" s="6">
        <f>$O$34*$X$34</f>
        <v>76356.971040000004</v>
      </c>
      <c r="AE34" s="6">
        <f>$K$34*$Y$34</f>
        <v>0</v>
      </c>
      <c r="AF34" s="6">
        <f ca="1">$M$34*$Z$34</f>
        <v>42890.898533585481</v>
      </c>
      <c r="AG34" s="6">
        <f>$O$34*$AA$34</f>
        <v>68555.807039046718</v>
      </c>
    </row>
    <row r="35" spans="1:33" ht="11.25" customHeight="1" x14ac:dyDescent="0.3">
      <c r="A35" s="4" t="s">
        <v>27</v>
      </c>
      <c r="B35" s="4" t="s">
        <v>37</v>
      </c>
      <c r="C35" s="4" t="s">
        <v>38</v>
      </c>
      <c r="D35" s="4" t="s">
        <v>40</v>
      </c>
      <c r="E35" s="4" t="s">
        <v>25</v>
      </c>
      <c r="F35" s="4" t="s">
        <v>25</v>
      </c>
      <c r="G35" s="4" t="s">
        <v>25</v>
      </c>
      <c r="H35" s="4" t="s">
        <v>34</v>
      </c>
      <c r="I35" s="5">
        <v>44682</v>
      </c>
      <c r="J35" s="6">
        <v>0</v>
      </c>
      <c r="K35" s="6">
        <v>0</v>
      </c>
      <c r="L35" s="6">
        <v>-21.530999999999999</v>
      </c>
      <c r="M35" s="6">
        <v>-21.530999999999999</v>
      </c>
      <c r="N35" s="6">
        <v>-21.530999999999999</v>
      </c>
      <c r="O35" s="6">
        <v>-21.530999999999999</v>
      </c>
      <c r="P35" s="6">
        <v>0</v>
      </c>
      <c r="Q35" s="4" t="s">
        <v>26</v>
      </c>
      <c r="R35" s="4">
        <v>0</v>
      </c>
      <c r="S35" s="6">
        <v>0</v>
      </c>
      <c r="T35" s="6">
        <v>16</v>
      </c>
      <c r="U35" s="6">
        <v>72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73.98</v>
      </c>
      <c r="X35" s="6">
        <f>IF(ISERROR(VLOOKUP($U$35,'TAR FIN'!$A$1:$O$85,15,0)),0,VLOOKUP($U$35,'TAR FIN'!$A$1:$O$85,15,0))</f>
        <v>185.74</v>
      </c>
      <c r="Y35" s="6"/>
      <c r="Z35" s="6">
        <f ca="1">('TUSD BE'!$AM$12+'TUSD BF'!$AM$12+'TUSD CVA'!$AM$12)*1</f>
        <v>104.33304759371407</v>
      </c>
      <c r="AA35" s="6">
        <f>('TE BE'!$AB$6+'TE BF'!$AB$6+'TE CVA'!$AB$6)*1</f>
        <v>166.7634981586946</v>
      </c>
      <c r="AB35" s="6">
        <f>$K$35*$V$35</f>
        <v>0</v>
      </c>
      <c r="AC35" s="6">
        <f>$M$35*$W$35</f>
        <v>-1592.86338</v>
      </c>
      <c r="AD35" s="6">
        <f>$O$35*$X$35</f>
        <v>-3999.1679399999998</v>
      </c>
      <c r="AE35" s="6">
        <f>$K$35*$Y$35</f>
        <v>0</v>
      </c>
      <c r="AF35" s="6">
        <f ca="1">$M$35*$Z$35</f>
        <v>-2246.3948477402573</v>
      </c>
      <c r="AG35" s="6">
        <f>$O$35*$AA$35</f>
        <v>-3590.5848788548533</v>
      </c>
    </row>
    <row r="36" spans="1:33" ht="11.25" customHeight="1" x14ac:dyDescent="0.3">
      <c r="A36" s="4" t="s">
        <v>21</v>
      </c>
      <c r="B36" s="4" t="s">
        <v>37</v>
      </c>
      <c r="C36" s="4" t="s">
        <v>38</v>
      </c>
      <c r="D36" s="4" t="s">
        <v>40</v>
      </c>
      <c r="E36" s="4" t="s">
        <v>25</v>
      </c>
      <c r="F36" s="4" t="s">
        <v>25</v>
      </c>
      <c r="G36" s="4" t="s">
        <v>25</v>
      </c>
      <c r="H36" s="4" t="s">
        <v>34</v>
      </c>
      <c r="I36" s="5">
        <v>44713</v>
      </c>
      <c r="J36" s="6">
        <v>0</v>
      </c>
      <c r="K36" s="6">
        <v>0</v>
      </c>
      <c r="L36" s="6">
        <v>335.82299999999998</v>
      </c>
      <c r="M36" s="6">
        <v>335.82299999999998</v>
      </c>
      <c r="N36" s="6">
        <v>335.82299999999998</v>
      </c>
      <c r="O36" s="6">
        <v>335.82299999999998</v>
      </c>
      <c r="P36" s="6">
        <v>0</v>
      </c>
      <c r="Q36" s="4" t="s">
        <v>26</v>
      </c>
      <c r="R36" s="4">
        <v>0</v>
      </c>
      <c r="S36" s="6">
        <v>0</v>
      </c>
      <c r="T36" s="6">
        <v>16</v>
      </c>
      <c r="U36" s="6">
        <v>72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73.98</v>
      </c>
      <c r="X36" s="6">
        <f>IF(ISERROR(VLOOKUP($U$36,'TAR FIN'!$A$1:$O$85,15,0)),0,VLOOKUP($U$36,'TAR FIN'!$A$1:$O$85,15,0))</f>
        <v>185.74</v>
      </c>
      <c r="Y36" s="6"/>
      <c r="Z36" s="6">
        <f ca="1">('TUSD BE'!$AM$12+'TUSD BF'!$AM$12+'TUSD CVA'!$AM$12)*1</f>
        <v>104.33304759371407</v>
      </c>
      <c r="AA36" s="6">
        <f>('TE BE'!$AB$6+'TE BF'!$AB$6+'TE CVA'!$AB$6)*1</f>
        <v>166.7634981586946</v>
      </c>
      <c r="AB36" s="6">
        <f>$K$36*$V$36</f>
        <v>0</v>
      </c>
      <c r="AC36" s="6">
        <f>$M$36*$W$36</f>
        <v>24844.185539999999</v>
      </c>
      <c r="AD36" s="6">
        <f>$O$36*$X$36</f>
        <v>62375.764020000002</v>
      </c>
      <c r="AE36" s="6">
        <f>$K$36*$Y$36</f>
        <v>0</v>
      </c>
      <c r="AF36" s="6">
        <f ca="1">$M$36*$Z$36</f>
        <v>35037.437042063837</v>
      </c>
      <c r="AG36" s="6">
        <f>$O$36*$AA$36</f>
        <v>56003.018242147293</v>
      </c>
    </row>
    <row r="37" spans="1:33" ht="11.25" customHeight="1" x14ac:dyDescent="0.3">
      <c r="A37" s="4" t="s">
        <v>21</v>
      </c>
      <c r="B37" s="4" t="s">
        <v>37</v>
      </c>
      <c r="C37" s="4" t="s">
        <v>38</v>
      </c>
      <c r="D37" s="4" t="s">
        <v>40</v>
      </c>
      <c r="E37" s="4" t="s">
        <v>25</v>
      </c>
      <c r="F37" s="4" t="s">
        <v>25</v>
      </c>
      <c r="G37" s="4" t="s">
        <v>25</v>
      </c>
      <c r="H37" s="4" t="s">
        <v>34</v>
      </c>
      <c r="I37" s="5">
        <v>44743</v>
      </c>
      <c r="J37" s="6">
        <v>0</v>
      </c>
      <c r="K37" s="6">
        <v>0</v>
      </c>
      <c r="L37" s="6">
        <v>428.73</v>
      </c>
      <c r="M37" s="6">
        <v>428.73</v>
      </c>
      <c r="N37" s="6">
        <v>428.73</v>
      </c>
      <c r="O37" s="6">
        <v>428.73</v>
      </c>
      <c r="P37" s="6">
        <v>0</v>
      </c>
      <c r="Q37" s="4" t="s">
        <v>26</v>
      </c>
      <c r="R37" s="4">
        <v>0</v>
      </c>
      <c r="S37" s="6">
        <v>0</v>
      </c>
      <c r="T37" s="6">
        <v>16</v>
      </c>
      <c r="U37" s="6">
        <v>72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73.98</v>
      </c>
      <c r="X37" s="6">
        <f>IF(ISERROR(VLOOKUP($U$37,'TAR FIN'!$A$1:$O$85,15,0)),0,VLOOKUP($U$37,'TAR FIN'!$A$1:$O$85,15,0))</f>
        <v>185.74</v>
      </c>
      <c r="Y37" s="6"/>
      <c r="Z37" s="6">
        <f ca="1">('TUSD BE'!$AM$12+'TUSD BF'!$AM$12+'TUSD CVA'!$AM$12)*1</f>
        <v>104.33304759371407</v>
      </c>
      <c r="AA37" s="6">
        <f>('TE BE'!$AB$6+'TE BF'!$AB$6+'TE CVA'!$AB$6)*1</f>
        <v>166.7634981586946</v>
      </c>
      <c r="AB37" s="6">
        <f>$K$37*$V$37</f>
        <v>0</v>
      </c>
      <c r="AC37" s="6">
        <f>$M$37*$W$37</f>
        <v>31717.445400000004</v>
      </c>
      <c r="AD37" s="6">
        <f>$O$37*$X$37</f>
        <v>79632.310200000007</v>
      </c>
      <c r="AE37" s="6">
        <f>$K$37*$Y$37</f>
        <v>0</v>
      </c>
      <c r="AF37" s="6">
        <f ca="1">$M$37*$Z$37</f>
        <v>44730.707494853035</v>
      </c>
      <c r="AG37" s="6">
        <f>$O$37*$AA$37</f>
        <v>71496.514565577134</v>
      </c>
    </row>
    <row r="38" spans="1:33" ht="11.25" customHeight="1" x14ac:dyDescent="0.3">
      <c r="A38" s="4" t="s">
        <v>21</v>
      </c>
      <c r="B38" s="4" t="s">
        <v>37</v>
      </c>
      <c r="C38" s="4" t="s">
        <v>38</v>
      </c>
      <c r="D38" s="4" t="s">
        <v>40</v>
      </c>
      <c r="E38" s="4" t="s">
        <v>25</v>
      </c>
      <c r="F38" s="4" t="s">
        <v>25</v>
      </c>
      <c r="G38" s="4" t="s">
        <v>25</v>
      </c>
      <c r="H38" s="4" t="s">
        <v>34</v>
      </c>
      <c r="I38" s="5">
        <v>44774</v>
      </c>
      <c r="J38" s="6">
        <v>0</v>
      </c>
      <c r="K38" s="6">
        <v>0</v>
      </c>
      <c r="L38" s="6">
        <v>411.89800000000002</v>
      </c>
      <c r="M38" s="6">
        <v>411.89800000000002</v>
      </c>
      <c r="N38" s="6">
        <v>411.89800000000002</v>
      </c>
      <c r="O38" s="6">
        <v>411.89800000000002</v>
      </c>
      <c r="P38" s="6">
        <v>0</v>
      </c>
      <c r="Q38" s="4" t="s">
        <v>26</v>
      </c>
      <c r="R38" s="4">
        <v>0</v>
      </c>
      <c r="S38" s="6">
        <v>0</v>
      </c>
      <c r="T38" s="6">
        <v>16</v>
      </c>
      <c r="U38" s="6">
        <v>72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73.98</v>
      </c>
      <c r="X38" s="6">
        <f>IF(ISERROR(VLOOKUP($U$38,'TAR FIN'!$A$1:$O$85,15,0)),0,VLOOKUP($U$38,'TAR FIN'!$A$1:$O$85,15,0))</f>
        <v>185.74</v>
      </c>
      <c r="Y38" s="6"/>
      <c r="Z38" s="6">
        <f ca="1">('TUSD BE'!$AM$12+'TUSD BF'!$AM$12+'TUSD CVA'!$AM$12)*1</f>
        <v>104.33304759371407</v>
      </c>
      <c r="AA38" s="6">
        <f>('TE BE'!$AB$6+'TE BF'!$AB$6+'TE CVA'!$AB$6)*1</f>
        <v>166.7634981586946</v>
      </c>
      <c r="AB38" s="6">
        <f>$K$38*$V$38</f>
        <v>0</v>
      </c>
      <c r="AC38" s="6">
        <f>$M$38*$W$38</f>
        <v>30472.214040000003</v>
      </c>
      <c r="AD38" s="6">
        <f>$O$38*$X$38</f>
        <v>76505.93452000001</v>
      </c>
      <c r="AE38" s="6">
        <f>$K$38*$Y$38</f>
        <v>0</v>
      </c>
      <c r="AF38" s="6">
        <f ca="1">$M$38*$Z$38</f>
        <v>42974.573637755639</v>
      </c>
      <c r="AG38" s="6">
        <f>$O$38*$AA$38</f>
        <v>68689.551364569998</v>
      </c>
    </row>
    <row r="39" spans="1:33" ht="11.25" customHeight="1" x14ac:dyDescent="0.3">
      <c r="A39" s="4" t="s">
        <v>21</v>
      </c>
      <c r="B39" s="4" t="s">
        <v>37</v>
      </c>
      <c r="C39" s="4" t="s">
        <v>38</v>
      </c>
      <c r="D39" s="4" t="s">
        <v>40</v>
      </c>
      <c r="E39" s="4" t="s">
        <v>25</v>
      </c>
      <c r="F39" s="4" t="s">
        <v>25</v>
      </c>
      <c r="G39" s="4" t="s">
        <v>25</v>
      </c>
      <c r="H39" s="4" t="s">
        <v>25</v>
      </c>
      <c r="I39" s="5">
        <v>44440</v>
      </c>
      <c r="J39" s="6">
        <v>1108</v>
      </c>
      <c r="K39" s="6">
        <v>1108</v>
      </c>
      <c r="L39" s="6">
        <v>0</v>
      </c>
      <c r="M39" s="6">
        <v>0</v>
      </c>
      <c r="N39" s="6">
        <v>0</v>
      </c>
      <c r="O39" s="6">
        <v>0</v>
      </c>
      <c r="P39" s="6">
        <v>5</v>
      </c>
      <c r="Q39" s="4" t="s">
        <v>26</v>
      </c>
      <c r="R39" s="4">
        <v>0</v>
      </c>
      <c r="S39" s="6">
        <v>12</v>
      </c>
      <c r="T39" s="6">
        <v>0</v>
      </c>
      <c r="U39" s="6">
        <v>0</v>
      </c>
      <c r="V39" s="6">
        <f>IF(ISERROR(VLOOKUP($S$39,'TAR FIN'!$A$1:$O$85,15,0)),0,VLOOKUP($S$39,'TAR FIN'!$A$1:$O$85,15,0))</f>
        <v>29.51</v>
      </c>
      <c r="W39" s="6">
        <f>IF(ISERROR(VLOOKUP($T$39,'TAR FIN'!$A$1:$O$85,15,0)),0,VLOOKUP($T$39,'TAR FIN'!$A$1:$O$85,15,0))</f>
        <v>0</v>
      </c>
      <c r="X39" s="6">
        <f>IF(ISERROR(VLOOKUP($U$39,'TAR FIN'!$A$1:$O$85,15,0)),0,VLOOKUP($U$39,'TAR FIN'!$A$1:$O$85,15,0))</f>
        <v>0</v>
      </c>
      <c r="Y39" s="6">
        <f ca="1">('TUSD BE'!$AM$10+'TUSD BF'!$AM$10+'TUSD CVA'!$AM$10)*1</f>
        <v>32.760867323415219</v>
      </c>
      <c r="Z39" s="6"/>
      <c r="AA39" s="6"/>
      <c r="AB39" s="6">
        <f>$K$39*$V$39</f>
        <v>32697.08</v>
      </c>
      <c r="AC39" s="6">
        <f>$M$39*$W$39</f>
        <v>0</v>
      </c>
      <c r="AD39" s="6">
        <f>$O$39*$X$39</f>
        <v>0</v>
      </c>
      <c r="AE39" s="6">
        <f ca="1">$K$39*$Y$39</f>
        <v>36299.040994344061</v>
      </c>
      <c r="AF39" s="6">
        <f>$M$39*$Z$39</f>
        <v>0</v>
      </c>
      <c r="AG39" s="6">
        <f>$O$39*$AA$39</f>
        <v>0</v>
      </c>
    </row>
    <row r="40" spans="1:33" ht="11.25" customHeight="1" x14ac:dyDescent="0.3">
      <c r="A40" s="4" t="s">
        <v>21</v>
      </c>
      <c r="B40" s="4" t="s">
        <v>37</v>
      </c>
      <c r="C40" s="4" t="s">
        <v>38</v>
      </c>
      <c r="D40" s="4" t="s">
        <v>40</v>
      </c>
      <c r="E40" s="4" t="s">
        <v>25</v>
      </c>
      <c r="F40" s="4" t="s">
        <v>25</v>
      </c>
      <c r="G40" s="4" t="s">
        <v>25</v>
      </c>
      <c r="H40" s="4" t="s">
        <v>25</v>
      </c>
      <c r="I40" s="5">
        <v>44470</v>
      </c>
      <c r="J40" s="6">
        <v>1108</v>
      </c>
      <c r="K40" s="6">
        <v>1108</v>
      </c>
      <c r="L40" s="6">
        <v>0</v>
      </c>
      <c r="M40" s="6">
        <v>0</v>
      </c>
      <c r="N40" s="6">
        <v>0</v>
      </c>
      <c r="O40" s="6">
        <v>0</v>
      </c>
      <c r="P40" s="6">
        <v>5</v>
      </c>
      <c r="Q40" s="4" t="s">
        <v>26</v>
      </c>
      <c r="R40" s="4">
        <v>0</v>
      </c>
      <c r="S40" s="6">
        <v>12</v>
      </c>
      <c r="T40" s="6">
        <v>0</v>
      </c>
      <c r="U40" s="6">
        <v>0</v>
      </c>
      <c r="V40" s="6">
        <f>IF(ISERROR(VLOOKUP($S$40,'TAR FIN'!$A$1:$O$85,15,0)),0,VLOOKUP($S$40,'TAR FIN'!$A$1:$O$85,15,0))</f>
        <v>29.51</v>
      </c>
      <c r="W40" s="6">
        <f>IF(ISERROR(VLOOKUP($T$40,'TAR FIN'!$A$1:$O$85,15,0)),0,VLOOKUP($T$40,'TAR FIN'!$A$1:$O$85,15,0))</f>
        <v>0</v>
      </c>
      <c r="X40" s="6">
        <f>IF(ISERROR(VLOOKUP($U$40,'TAR FIN'!$A$1:$O$85,15,0)),0,VLOOKUP($U$40,'TAR FIN'!$A$1:$O$85,15,0))</f>
        <v>0</v>
      </c>
      <c r="Y40" s="6">
        <f ca="1">('TUSD BE'!$AM$10+'TUSD BF'!$AM$10+'TUSD CVA'!$AM$10)*1</f>
        <v>32.760867323415219</v>
      </c>
      <c r="Z40" s="6"/>
      <c r="AA40" s="6"/>
      <c r="AB40" s="6">
        <f>$K$40*$V$40</f>
        <v>32697.08</v>
      </c>
      <c r="AC40" s="6">
        <f>$M$40*$W$40</f>
        <v>0</v>
      </c>
      <c r="AD40" s="6">
        <f>$O$40*$X$40</f>
        <v>0</v>
      </c>
      <c r="AE40" s="6">
        <f ca="1">$K$40*$Y$40</f>
        <v>36299.040994344061</v>
      </c>
      <c r="AF40" s="6">
        <f>$M$40*$Z$40</f>
        <v>0</v>
      </c>
      <c r="AG40" s="6">
        <f>$O$40*$AA$40</f>
        <v>0</v>
      </c>
    </row>
    <row r="41" spans="1:33" ht="11.25" customHeight="1" x14ac:dyDescent="0.3">
      <c r="A41" s="4" t="s">
        <v>21</v>
      </c>
      <c r="B41" s="4" t="s">
        <v>37</v>
      </c>
      <c r="C41" s="4" t="s">
        <v>38</v>
      </c>
      <c r="D41" s="4" t="s">
        <v>40</v>
      </c>
      <c r="E41" s="4" t="s">
        <v>25</v>
      </c>
      <c r="F41" s="4" t="s">
        <v>25</v>
      </c>
      <c r="G41" s="4" t="s">
        <v>25</v>
      </c>
      <c r="H41" s="4" t="s">
        <v>25</v>
      </c>
      <c r="I41" s="5">
        <v>44501</v>
      </c>
      <c r="J41" s="6">
        <v>1131</v>
      </c>
      <c r="K41" s="6">
        <v>1131</v>
      </c>
      <c r="L41" s="6">
        <v>0</v>
      </c>
      <c r="M41" s="6">
        <v>0</v>
      </c>
      <c r="N41" s="6">
        <v>0</v>
      </c>
      <c r="O41" s="6">
        <v>0</v>
      </c>
      <c r="P41" s="6">
        <v>5</v>
      </c>
      <c r="Q41" s="4" t="s">
        <v>26</v>
      </c>
      <c r="R41" s="4">
        <v>0</v>
      </c>
      <c r="S41" s="6">
        <v>12</v>
      </c>
      <c r="T41" s="6">
        <v>0</v>
      </c>
      <c r="U41" s="6">
        <v>0</v>
      </c>
      <c r="V41" s="6">
        <f>IF(ISERROR(VLOOKUP($S$41,'TAR FIN'!$A$1:$O$85,15,0)),0,VLOOKUP($S$41,'TAR FIN'!$A$1:$O$85,15,0))</f>
        <v>29.51</v>
      </c>
      <c r="W41" s="6">
        <f>IF(ISERROR(VLOOKUP($T$41,'TAR FIN'!$A$1:$O$85,15,0)),0,VLOOKUP($T$41,'TAR FIN'!$A$1:$O$85,15,0))</f>
        <v>0</v>
      </c>
      <c r="X41" s="6">
        <f>IF(ISERROR(VLOOKUP($U$41,'TAR FIN'!$A$1:$O$85,15,0)),0,VLOOKUP($U$41,'TAR FIN'!$A$1:$O$85,15,0))</f>
        <v>0</v>
      </c>
      <c r="Y41" s="6">
        <f ca="1">('TUSD BE'!$AM$10+'TUSD BF'!$AM$10+'TUSD CVA'!$AM$10)*1</f>
        <v>32.760867323415219</v>
      </c>
      <c r="Z41" s="6"/>
      <c r="AA41" s="6"/>
      <c r="AB41" s="6">
        <f>$K$41*$V$41</f>
        <v>33375.810000000005</v>
      </c>
      <c r="AC41" s="6">
        <f>$M$41*$W$41</f>
        <v>0</v>
      </c>
      <c r="AD41" s="6">
        <f>$O$41*$X$41</f>
        <v>0</v>
      </c>
      <c r="AE41" s="6">
        <f ca="1">$K$41*$Y$41</f>
        <v>37052.540942782616</v>
      </c>
      <c r="AF41" s="6">
        <f>$M$41*$Z$41</f>
        <v>0</v>
      </c>
      <c r="AG41" s="6">
        <f>$O$41*$AA$41</f>
        <v>0</v>
      </c>
    </row>
    <row r="42" spans="1:33" ht="11.25" customHeight="1" x14ac:dyDescent="0.3">
      <c r="A42" s="4" t="s">
        <v>21</v>
      </c>
      <c r="B42" s="4" t="s">
        <v>37</v>
      </c>
      <c r="C42" s="4" t="s">
        <v>38</v>
      </c>
      <c r="D42" s="4" t="s">
        <v>40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44531</v>
      </c>
      <c r="J42" s="6">
        <v>1178</v>
      </c>
      <c r="K42" s="6">
        <v>1178</v>
      </c>
      <c r="L42" s="6">
        <v>0</v>
      </c>
      <c r="M42" s="6">
        <v>0</v>
      </c>
      <c r="N42" s="6">
        <v>0</v>
      </c>
      <c r="O42" s="6">
        <v>0</v>
      </c>
      <c r="P42" s="6">
        <v>5</v>
      </c>
      <c r="Q42" s="4" t="s">
        <v>26</v>
      </c>
      <c r="R42" s="4">
        <v>0</v>
      </c>
      <c r="S42" s="6">
        <v>12</v>
      </c>
      <c r="T42" s="6">
        <v>0</v>
      </c>
      <c r="U42" s="6">
        <v>0</v>
      </c>
      <c r="V42" s="6">
        <f>IF(ISERROR(VLOOKUP($S$42,'TAR FIN'!$A$1:$O$85,15,0)),0,VLOOKUP($S$42,'TAR FIN'!$A$1:$O$85,15,0))</f>
        <v>29.51</v>
      </c>
      <c r="W42" s="6">
        <f>IF(ISERROR(VLOOKUP($T$42,'TAR FIN'!$A$1:$O$85,15,0)),0,VLOOKUP($T$42,'TAR FIN'!$A$1:$O$85,15,0))</f>
        <v>0</v>
      </c>
      <c r="X42" s="6">
        <f>IF(ISERROR(VLOOKUP($U$42,'TAR FIN'!$A$1:$O$85,15,0)),0,VLOOKUP($U$42,'TAR FIN'!$A$1:$O$85,15,0))</f>
        <v>0</v>
      </c>
      <c r="Y42" s="6">
        <f ca="1">('TUSD BE'!$AM$10+'TUSD BF'!$AM$10+'TUSD CVA'!$AM$10)*1</f>
        <v>32.760867323415219</v>
      </c>
      <c r="Z42" s="6"/>
      <c r="AA42" s="6"/>
      <c r="AB42" s="6">
        <f>$K$42*$V$42</f>
        <v>34762.78</v>
      </c>
      <c r="AC42" s="6">
        <f>$M$42*$W$42</f>
        <v>0</v>
      </c>
      <c r="AD42" s="6">
        <f>$O$42*$X$42</f>
        <v>0</v>
      </c>
      <c r="AE42" s="6">
        <f ca="1">$K$42*$Y$42</f>
        <v>38592.301706983126</v>
      </c>
      <c r="AF42" s="6">
        <f>$M$42*$Z$42</f>
        <v>0</v>
      </c>
      <c r="AG42" s="6">
        <f>$O$42*$AA$42</f>
        <v>0</v>
      </c>
    </row>
    <row r="43" spans="1:33" ht="11.25" customHeight="1" x14ac:dyDescent="0.3">
      <c r="A43" s="4" t="s">
        <v>21</v>
      </c>
      <c r="B43" s="4" t="s">
        <v>37</v>
      </c>
      <c r="C43" s="4" t="s">
        <v>38</v>
      </c>
      <c r="D43" s="4" t="s">
        <v>40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44562</v>
      </c>
      <c r="J43" s="6">
        <v>1123</v>
      </c>
      <c r="K43" s="6">
        <v>1123</v>
      </c>
      <c r="L43" s="6">
        <v>0</v>
      </c>
      <c r="M43" s="6">
        <v>0</v>
      </c>
      <c r="N43" s="6">
        <v>0</v>
      </c>
      <c r="O43" s="6">
        <v>0</v>
      </c>
      <c r="P43" s="6">
        <v>5</v>
      </c>
      <c r="Q43" s="4" t="s">
        <v>26</v>
      </c>
      <c r="R43" s="4">
        <v>0</v>
      </c>
      <c r="S43" s="6">
        <v>12</v>
      </c>
      <c r="T43" s="6">
        <v>0</v>
      </c>
      <c r="U43" s="6">
        <v>0</v>
      </c>
      <c r="V43" s="6">
        <f>IF(ISERROR(VLOOKUP($S$43,'TAR FIN'!$A$1:$O$85,15,0)),0,VLOOKUP($S$43,'TAR FIN'!$A$1:$O$85,15,0))</f>
        <v>29.51</v>
      </c>
      <c r="W43" s="6">
        <f>IF(ISERROR(VLOOKUP($T$43,'TAR FIN'!$A$1:$O$85,15,0)),0,VLOOKUP($T$43,'TAR FIN'!$A$1:$O$85,15,0))</f>
        <v>0</v>
      </c>
      <c r="X43" s="6">
        <f>IF(ISERROR(VLOOKUP($U$43,'TAR FIN'!$A$1:$O$85,15,0)),0,VLOOKUP($U$43,'TAR FIN'!$A$1:$O$85,15,0))</f>
        <v>0</v>
      </c>
      <c r="Y43" s="6">
        <f ca="1">('TUSD BE'!$AM$10+'TUSD BF'!$AM$10+'TUSD CVA'!$AM$10)*1</f>
        <v>32.760867323415219</v>
      </c>
      <c r="Z43" s="6"/>
      <c r="AA43" s="6"/>
      <c r="AB43" s="6">
        <f>$K$43*$V$43</f>
        <v>33139.730000000003</v>
      </c>
      <c r="AC43" s="6">
        <f>$M$43*$W$43</f>
        <v>0</v>
      </c>
      <c r="AD43" s="6">
        <f>$O$43*$X$43</f>
        <v>0</v>
      </c>
      <c r="AE43" s="6">
        <f ca="1">$K$43*$Y$43</f>
        <v>36790.454004195293</v>
      </c>
      <c r="AF43" s="6">
        <f>$M$43*$Z$43</f>
        <v>0</v>
      </c>
      <c r="AG43" s="6">
        <f>$O$43*$AA$43</f>
        <v>0</v>
      </c>
    </row>
    <row r="44" spans="1:33" ht="11.25" customHeight="1" x14ac:dyDescent="0.3">
      <c r="A44" s="4" t="s">
        <v>21</v>
      </c>
      <c r="B44" s="4" t="s">
        <v>37</v>
      </c>
      <c r="C44" s="4" t="s">
        <v>38</v>
      </c>
      <c r="D44" s="4" t="s">
        <v>40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44593</v>
      </c>
      <c r="J44" s="6">
        <v>1143</v>
      </c>
      <c r="K44" s="6">
        <v>1143</v>
      </c>
      <c r="L44" s="6">
        <v>0</v>
      </c>
      <c r="M44" s="6">
        <v>0</v>
      </c>
      <c r="N44" s="6">
        <v>0</v>
      </c>
      <c r="O44" s="6">
        <v>0</v>
      </c>
      <c r="P44" s="6">
        <v>5</v>
      </c>
      <c r="Q44" s="4" t="s">
        <v>26</v>
      </c>
      <c r="R44" s="4">
        <v>0</v>
      </c>
      <c r="S44" s="6">
        <v>12</v>
      </c>
      <c r="T44" s="6">
        <v>0</v>
      </c>
      <c r="U44" s="6">
        <v>0</v>
      </c>
      <c r="V44" s="6">
        <f>IF(ISERROR(VLOOKUP($S$44,'TAR FIN'!$A$1:$O$85,15,0)),0,VLOOKUP($S$44,'TAR FIN'!$A$1:$O$85,15,0))</f>
        <v>29.51</v>
      </c>
      <c r="W44" s="6">
        <f>IF(ISERROR(VLOOKUP($T$44,'TAR FIN'!$A$1:$O$85,15,0)),0,VLOOKUP($T$44,'TAR FIN'!$A$1:$O$85,15,0))</f>
        <v>0</v>
      </c>
      <c r="X44" s="6">
        <f>IF(ISERROR(VLOOKUP($U$44,'TAR FIN'!$A$1:$O$85,15,0)),0,VLOOKUP($U$44,'TAR FIN'!$A$1:$O$85,15,0))</f>
        <v>0</v>
      </c>
      <c r="Y44" s="6">
        <f ca="1">('TUSD BE'!$AM$10+'TUSD BF'!$AM$10+'TUSD CVA'!$AM$10)*1</f>
        <v>32.760867323415219</v>
      </c>
      <c r="Z44" s="6"/>
      <c r="AA44" s="6"/>
      <c r="AB44" s="6">
        <f>$K$44*$V$44</f>
        <v>33729.93</v>
      </c>
      <c r="AC44" s="6">
        <f>$M$44*$W$44</f>
        <v>0</v>
      </c>
      <c r="AD44" s="6">
        <f>$O$44*$X$44</f>
        <v>0</v>
      </c>
      <c r="AE44" s="6">
        <f ca="1">$K$44*$Y$44</f>
        <v>37445.671350663593</v>
      </c>
      <c r="AF44" s="6">
        <f>$M$44*$Z$44</f>
        <v>0</v>
      </c>
      <c r="AG44" s="6">
        <f>$O$44*$AA$44</f>
        <v>0</v>
      </c>
    </row>
    <row r="45" spans="1:33" ht="11.25" customHeight="1" x14ac:dyDescent="0.3">
      <c r="A45" s="4" t="s">
        <v>21</v>
      </c>
      <c r="B45" s="4" t="s">
        <v>37</v>
      </c>
      <c r="C45" s="4" t="s">
        <v>38</v>
      </c>
      <c r="D45" s="4" t="s">
        <v>40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44621</v>
      </c>
      <c r="J45" s="6">
        <v>1122</v>
      </c>
      <c r="K45" s="6">
        <v>1122</v>
      </c>
      <c r="L45" s="6">
        <v>0</v>
      </c>
      <c r="M45" s="6">
        <v>0</v>
      </c>
      <c r="N45" s="6">
        <v>0</v>
      </c>
      <c r="O45" s="6">
        <v>0</v>
      </c>
      <c r="P45" s="6">
        <v>5</v>
      </c>
      <c r="Q45" s="4" t="s">
        <v>26</v>
      </c>
      <c r="R45" s="4">
        <v>0</v>
      </c>
      <c r="S45" s="6">
        <v>12</v>
      </c>
      <c r="T45" s="6">
        <v>0</v>
      </c>
      <c r="U45" s="6">
        <v>0</v>
      </c>
      <c r="V45" s="6">
        <f>IF(ISERROR(VLOOKUP($S$45,'TAR FIN'!$A$1:$O$85,15,0)),0,VLOOKUP($S$45,'TAR FIN'!$A$1:$O$85,15,0))</f>
        <v>29.51</v>
      </c>
      <c r="W45" s="6">
        <f>IF(ISERROR(VLOOKUP($T$45,'TAR FIN'!$A$1:$O$85,15,0)),0,VLOOKUP($T$45,'TAR FIN'!$A$1:$O$85,15,0))</f>
        <v>0</v>
      </c>
      <c r="X45" s="6">
        <f>IF(ISERROR(VLOOKUP($U$45,'TAR FIN'!$A$1:$O$85,15,0)),0,VLOOKUP($U$45,'TAR FIN'!$A$1:$O$85,15,0))</f>
        <v>0</v>
      </c>
      <c r="Y45" s="6">
        <f ca="1">('TUSD BE'!$AM$10+'TUSD BF'!$AM$10+'TUSD CVA'!$AM$10)*1</f>
        <v>32.760867323415219</v>
      </c>
      <c r="Z45" s="6"/>
      <c r="AA45" s="6"/>
      <c r="AB45" s="6">
        <f>$K$45*$V$45</f>
        <v>33110.22</v>
      </c>
      <c r="AC45" s="6">
        <f>$M$45*$W$45</f>
        <v>0</v>
      </c>
      <c r="AD45" s="6">
        <f>$O$45*$X$45</f>
        <v>0</v>
      </c>
      <c r="AE45" s="6">
        <f ca="1">$K$45*$Y$45</f>
        <v>36757.693136871872</v>
      </c>
      <c r="AF45" s="6">
        <f>$M$45*$Z$45</f>
        <v>0</v>
      </c>
      <c r="AG45" s="6">
        <f>$O$45*$AA$45</f>
        <v>0</v>
      </c>
    </row>
    <row r="46" spans="1:33" ht="11.25" customHeight="1" x14ac:dyDescent="0.3">
      <c r="A46" s="4" t="s">
        <v>21</v>
      </c>
      <c r="B46" s="4" t="s">
        <v>37</v>
      </c>
      <c r="C46" s="4" t="s">
        <v>38</v>
      </c>
      <c r="D46" s="4" t="s">
        <v>40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44652</v>
      </c>
      <c r="J46" s="6">
        <v>1166</v>
      </c>
      <c r="K46" s="6">
        <v>1166</v>
      </c>
      <c r="L46" s="6">
        <v>0</v>
      </c>
      <c r="M46" s="6">
        <v>0</v>
      </c>
      <c r="N46" s="6">
        <v>0</v>
      </c>
      <c r="O46" s="6">
        <v>0</v>
      </c>
      <c r="P46" s="6">
        <v>5</v>
      </c>
      <c r="Q46" s="4" t="s">
        <v>26</v>
      </c>
      <c r="R46" s="4">
        <v>0</v>
      </c>
      <c r="S46" s="6">
        <v>12</v>
      </c>
      <c r="T46" s="6">
        <v>0</v>
      </c>
      <c r="U46" s="6">
        <v>0</v>
      </c>
      <c r="V46" s="6">
        <f>IF(ISERROR(VLOOKUP($S$46,'TAR FIN'!$A$1:$O$85,15,0)),0,VLOOKUP($S$46,'TAR FIN'!$A$1:$O$85,15,0))</f>
        <v>29.51</v>
      </c>
      <c r="W46" s="6">
        <f>IF(ISERROR(VLOOKUP($T$46,'TAR FIN'!$A$1:$O$85,15,0)),0,VLOOKUP($T$46,'TAR FIN'!$A$1:$O$85,15,0))</f>
        <v>0</v>
      </c>
      <c r="X46" s="6">
        <f>IF(ISERROR(VLOOKUP($U$46,'TAR FIN'!$A$1:$O$85,15,0)),0,VLOOKUP($U$46,'TAR FIN'!$A$1:$O$85,15,0))</f>
        <v>0</v>
      </c>
      <c r="Y46" s="6">
        <f ca="1">('TUSD BE'!$AM$10+'TUSD BF'!$AM$10+'TUSD CVA'!$AM$10)*1</f>
        <v>32.760867323415219</v>
      </c>
      <c r="Z46" s="6"/>
      <c r="AA46" s="6"/>
      <c r="AB46" s="6">
        <f>$K$46*$V$46</f>
        <v>34408.660000000003</v>
      </c>
      <c r="AC46" s="6">
        <f>$M$46*$W$46</f>
        <v>0</v>
      </c>
      <c r="AD46" s="6">
        <f>$O$46*$X$46</f>
        <v>0</v>
      </c>
      <c r="AE46" s="6">
        <f ca="1">$K$46*$Y$46</f>
        <v>38199.171299102149</v>
      </c>
      <c r="AF46" s="6">
        <f>$M$46*$Z$46</f>
        <v>0</v>
      </c>
      <c r="AG46" s="6">
        <f>$O$46*$AA$46</f>
        <v>0</v>
      </c>
    </row>
    <row r="47" spans="1:33" ht="11.25" customHeight="1" x14ac:dyDescent="0.3">
      <c r="A47" s="4" t="s">
        <v>21</v>
      </c>
      <c r="B47" s="4" t="s">
        <v>37</v>
      </c>
      <c r="C47" s="4" t="s">
        <v>38</v>
      </c>
      <c r="D47" s="4" t="s">
        <v>40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44682</v>
      </c>
      <c r="J47" s="6">
        <v>1530</v>
      </c>
      <c r="K47" s="6">
        <v>1530</v>
      </c>
      <c r="L47" s="6">
        <v>0</v>
      </c>
      <c r="M47" s="6">
        <v>0</v>
      </c>
      <c r="N47" s="6">
        <v>0</v>
      </c>
      <c r="O47" s="6">
        <v>0</v>
      </c>
      <c r="P47" s="6">
        <v>6</v>
      </c>
      <c r="Q47" s="4" t="s">
        <v>26</v>
      </c>
      <c r="R47" s="4">
        <v>0</v>
      </c>
      <c r="S47" s="6">
        <v>12</v>
      </c>
      <c r="T47" s="6">
        <v>0</v>
      </c>
      <c r="U47" s="6">
        <v>0</v>
      </c>
      <c r="V47" s="6">
        <f>IF(ISERROR(VLOOKUP($S$47,'TAR FIN'!$A$1:$O$85,15,0)),0,VLOOKUP($S$47,'TAR FIN'!$A$1:$O$85,15,0))</f>
        <v>29.51</v>
      </c>
      <c r="W47" s="6">
        <f>IF(ISERROR(VLOOKUP($T$47,'TAR FIN'!$A$1:$O$85,15,0)),0,VLOOKUP($T$47,'TAR FIN'!$A$1:$O$85,15,0))</f>
        <v>0</v>
      </c>
      <c r="X47" s="6">
        <f>IF(ISERROR(VLOOKUP($U$47,'TAR FIN'!$A$1:$O$85,15,0)),0,VLOOKUP($U$47,'TAR FIN'!$A$1:$O$85,15,0))</f>
        <v>0</v>
      </c>
      <c r="Y47" s="6">
        <f ca="1">('TUSD BE'!$AM$10+'TUSD BF'!$AM$10+'TUSD CVA'!$AM$10)*1</f>
        <v>32.760867323415219</v>
      </c>
      <c r="Z47" s="6"/>
      <c r="AA47" s="6"/>
      <c r="AB47" s="6">
        <f>$K$47*$V$47</f>
        <v>45150.3</v>
      </c>
      <c r="AC47" s="6">
        <f>$M$47*$W$47</f>
        <v>0</v>
      </c>
      <c r="AD47" s="6">
        <f>$O$47*$X$47</f>
        <v>0</v>
      </c>
      <c r="AE47" s="6">
        <f ca="1">$K$47*$Y$47</f>
        <v>50124.127004825285</v>
      </c>
      <c r="AF47" s="6">
        <f>$M$47*$Z$47</f>
        <v>0</v>
      </c>
      <c r="AG47" s="6">
        <f>$O$47*$AA$47</f>
        <v>0</v>
      </c>
    </row>
    <row r="48" spans="1:33" ht="11.25" customHeight="1" x14ac:dyDescent="0.3">
      <c r="A48" s="4" t="s">
        <v>27</v>
      </c>
      <c r="B48" s="4" t="s">
        <v>37</v>
      </c>
      <c r="C48" s="4" t="s">
        <v>38</v>
      </c>
      <c r="D48" s="4" t="s">
        <v>40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44682</v>
      </c>
      <c r="J48" s="6">
        <v>-177</v>
      </c>
      <c r="K48" s="6">
        <v>-177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4" t="s">
        <v>26</v>
      </c>
      <c r="R48" s="4">
        <v>0</v>
      </c>
      <c r="S48" s="6">
        <v>12</v>
      </c>
      <c r="T48" s="6">
        <v>0</v>
      </c>
      <c r="U48" s="6">
        <v>0</v>
      </c>
      <c r="V48" s="6">
        <f>IF(ISERROR(VLOOKUP($S$48,'TAR FIN'!$A$1:$O$85,15,0)),0,VLOOKUP($S$48,'TAR FIN'!$A$1:$O$85,15,0))</f>
        <v>29.51</v>
      </c>
      <c r="W48" s="6">
        <f>IF(ISERROR(VLOOKUP($T$48,'TAR FIN'!$A$1:$O$85,15,0)),0,VLOOKUP($T$48,'TAR FIN'!$A$1:$O$85,15,0))</f>
        <v>0</v>
      </c>
      <c r="X48" s="6">
        <f>IF(ISERROR(VLOOKUP($U$48,'TAR FIN'!$A$1:$O$85,15,0)),0,VLOOKUP($U$48,'TAR FIN'!$A$1:$O$85,15,0))</f>
        <v>0</v>
      </c>
      <c r="Y48" s="6">
        <f ca="1">('TUSD BE'!$AM$10+'TUSD BF'!$AM$10+'TUSD CVA'!$AM$10)*1</f>
        <v>32.760867323415219</v>
      </c>
      <c r="Z48" s="6"/>
      <c r="AA48" s="6"/>
      <c r="AB48" s="6">
        <f>$K$48*$V$48</f>
        <v>-5223.2700000000004</v>
      </c>
      <c r="AC48" s="6">
        <f>$M$48*$W$48</f>
        <v>0</v>
      </c>
      <c r="AD48" s="6">
        <f>$O$48*$X$48</f>
        <v>0</v>
      </c>
      <c r="AE48" s="6">
        <f ca="1">$K$48*$Y$48</f>
        <v>-5798.6735162444938</v>
      </c>
      <c r="AF48" s="6">
        <f>$M$48*$Z$48</f>
        <v>0</v>
      </c>
      <c r="AG48" s="6">
        <f>$O$48*$AA$48</f>
        <v>0</v>
      </c>
    </row>
    <row r="49" spans="1:33" ht="11.25" customHeight="1" x14ac:dyDescent="0.3">
      <c r="A49" s="4" t="s">
        <v>21</v>
      </c>
      <c r="B49" s="4" t="s">
        <v>37</v>
      </c>
      <c r="C49" s="4" t="s">
        <v>38</v>
      </c>
      <c r="D49" s="4" t="s">
        <v>40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44713</v>
      </c>
      <c r="J49" s="6">
        <v>1148</v>
      </c>
      <c r="K49" s="6">
        <v>1148</v>
      </c>
      <c r="L49" s="6">
        <v>0</v>
      </c>
      <c r="M49" s="6">
        <v>0</v>
      </c>
      <c r="N49" s="6">
        <v>0</v>
      </c>
      <c r="O49" s="6">
        <v>0</v>
      </c>
      <c r="P49" s="6">
        <v>6</v>
      </c>
      <c r="Q49" s="4" t="s">
        <v>26</v>
      </c>
      <c r="R49" s="4">
        <v>0</v>
      </c>
      <c r="S49" s="6">
        <v>12</v>
      </c>
      <c r="T49" s="6">
        <v>0</v>
      </c>
      <c r="U49" s="6">
        <v>0</v>
      </c>
      <c r="V49" s="6">
        <f>IF(ISERROR(VLOOKUP($S$49,'TAR FIN'!$A$1:$O$85,15,0)),0,VLOOKUP($S$49,'TAR FIN'!$A$1:$O$85,15,0))</f>
        <v>29.51</v>
      </c>
      <c r="W49" s="6">
        <f>IF(ISERROR(VLOOKUP($T$49,'TAR FIN'!$A$1:$O$85,15,0)),0,VLOOKUP($T$49,'TAR FIN'!$A$1:$O$85,15,0))</f>
        <v>0</v>
      </c>
      <c r="X49" s="6">
        <f>IF(ISERROR(VLOOKUP($U$49,'TAR FIN'!$A$1:$O$85,15,0)),0,VLOOKUP($U$49,'TAR FIN'!$A$1:$O$85,15,0))</f>
        <v>0</v>
      </c>
      <c r="Y49" s="6">
        <f ca="1">('TUSD BE'!$AM$10+'TUSD BF'!$AM$10+'TUSD CVA'!$AM$10)*1</f>
        <v>32.760867323415219</v>
      </c>
      <c r="Z49" s="6"/>
      <c r="AA49" s="6"/>
      <c r="AB49" s="6">
        <f>$K$49*$V$49</f>
        <v>33877.480000000003</v>
      </c>
      <c r="AC49" s="6">
        <f>$M$49*$W$49</f>
        <v>0</v>
      </c>
      <c r="AD49" s="6">
        <f>$O$49*$X$49</f>
        <v>0</v>
      </c>
      <c r="AE49" s="6">
        <f ca="1">$K$49*$Y$49</f>
        <v>37609.475687280668</v>
      </c>
      <c r="AF49" s="6">
        <f>$M$49*$Z$49</f>
        <v>0</v>
      </c>
      <c r="AG49" s="6">
        <f>$O$49*$AA$49</f>
        <v>0</v>
      </c>
    </row>
    <row r="50" spans="1:33" ht="11.25" customHeight="1" x14ac:dyDescent="0.3">
      <c r="A50" s="4" t="s">
        <v>21</v>
      </c>
      <c r="B50" s="4" t="s">
        <v>37</v>
      </c>
      <c r="C50" s="4" t="s">
        <v>38</v>
      </c>
      <c r="D50" s="4" t="s">
        <v>40</v>
      </c>
      <c r="E50" s="4" t="s">
        <v>25</v>
      </c>
      <c r="F50" s="4" t="s">
        <v>25</v>
      </c>
      <c r="G50" s="4" t="s">
        <v>25</v>
      </c>
      <c r="H50" s="4" t="s">
        <v>25</v>
      </c>
      <c r="I50" s="5">
        <v>44743</v>
      </c>
      <c r="J50" s="6">
        <v>1263</v>
      </c>
      <c r="K50" s="6">
        <v>1263</v>
      </c>
      <c r="L50" s="6">
        <v>0</v>
      </c>
      <c r="M50" s="6">
        <v>0</v>
      </c>
      <c r="N50" s="6">
        <v>0</v>
      </c>
      <c r="O50" s="6">
        <v>0</v>
      </c>
      <c r="P50" s="6">
        <v>6</v>
      </c>
      <c r="Q50" s="4" t="s">
        <v>26</v>
      </c>
      <c r="R50" s="4">
        <v>0</v>
      </c>
      <c r="S50" s="6">
        <v>12</v>
      </c>
      <c r="T50" s="6">
        <v>0</v>
      </c>
      <c r="U50" s="6">
        <v>0</v>
      </c>
      <c r="V50" s="6">
        <f>IF(ISERROR(VLOOKUP($S$50,'TAR FIN'!$A$1:$O$85,15,0)),0,VLOOKUP($S$50,'TAR FIN'!$A$1:$O$85,15,0))</f>
        <v>29.51</v>
      </c>
      <c r="W50" s="6">
        <f>IF(ISERROR(VLOOKUP($T$50,'TAR FIN'!$A$1:$O$85,15,0)),0,VLOOKUP($T$50,'TAR FIN'!$A$1:$O$85,15,0))</f>
        <v>0</v>
      </c>
      <c r="X50" s="6">
        <f>IF(ISERROR(VLOOKUP($U$50,'TAR FIN'!$A$1:$O$85,15,0)),0,VLOOKUP($U$50,'TAR FIN'!$A$1:$O$85,15,0))</f>
        <v>0</v>
      </c>
      <c r="Y50" s="6">
        <f ca="1">('TUSD BE'!$AM$10+'TUSD BF'!$AM$10+'TUSD CVA'!$AM$10)*1</f>
        <v>32.760867323415219</v>
      </c>
      <c r="Z50" s="6"/>
      <c r="AA50" s="6"/>
      <c r="AB50" s="6">
        <f>$K$50*$V$50</f>
        <v>37271.130000000005</v>
      </c>
      <c r="AC50" s="6">
        <f>$M$50*$W$50</f>
        <v>0</v>
      </c>
      <c r="AD50" s="6">
        <f>$O$50*$X$50</f>
        <v>0</v>
      </c>
      <c r="AE50" s="6">
        <f ca="1">$K$50*$Y$50</f>
        <v>41376.975429473423</v>
      </c>
      <c r="AF50" s="6">
        <f>$M$50*$Z$50</f>
        <v>0</v>
      </c>
      <c r="AG50" s="6">
        <f>$O$50*$AA$50</f>
        <v>0</v>
      </c>
    </row>
    <row r="51" spans="1:33" ht="11.25" customHeight="1" x14ac:dyDescent="0.3">
      <c r="A51" s="4" t="s">
        <v>21</v>
      </c>
      <c r="B51" s="4" t="s">
        <v>37</v>
      </c>
      <c r="C51" s="4" t="s">
        <v>38</v>
      </c>
      <c r="D51" s="4" t="s">
        <v>40</v>
      </c>
      <c r="E51" s="4" t="s">
        <v>25</v>
      </c>
      <c r="F51" s="4" t="s">
        <v>25</v>
      </c>
      <c r="G51" s="4" t="s">
        <v>25</v>
      </c>
      <c r="H51" s="4" t="s">
        <v>25</v>
      </c>
      <c r="I51" s="5">
        <v>44774</v>
      </c>
      <c r="J51" s="6">
        <v>1196</v>
      </c>
      <c r="K51" s="6">
        <v>1196</v>
      </c>
      <c r="L51" s="6">
        <v>0</v>
      </c>
      <c r="M51" s="6">
        <v>0</v>
      </c>
      <c r="N51" s="6">
        <v>0</v>
      </c>
      <c r="O51" s="6">
        <v>0</v>
      </c>
      <c r="P51" s="6">
        <v>6</v>
      </c>
      <c r="Q51" s="4" t="s">
        <v>26</v>
      </c>
      <c r="R51" s="4">
        <v>0</v>
      </c>
      <c r="S51" s="6">
        <v>12</v>
      </c>
      <c r="T51" s="6">
        <v>0</v>
      </c>
      <c r="U51" s="6">
        <v>0</v>
      </c>
      <c r="V51" s="6">
        <f>IF(ISERROR(VLOOKUP($S$51,'TAR FIN'!$A$1:$O$85,15,0)),0,VLOOKUP($S$51,'TAR FIN'!$A$1:$O$85,15,0))</f>
        <v>29.51</v>
      </c>
      <c r="W51" s="6">
        <f>IF(ISERROR(VLOOKUP($T$51,'TAR FIN'!$A$1:$O$85,15,0)),0,VLOOKUP($T$51,'TAR FIN'!$A$1:$O$85,15,0))</f>
        <v>0</v>
      </c>
      <c r="X51" s="6">
        <f>IF(ISERROR(VLOOKUP($U$51,'TAR FIN'!$A$1:$O$85,15,0)),0,VLOOKUP($U$51,'TAR FIN'!$A$1:$O$85,15,0))</f>
        <v>0</v>
      </c>
      <c r="Y51" s="6">
        <f ca="1">('TUSD BE'!$AM$10+'TUSD BF'!$AM$10+'TUSD CVA'!$AM$10)*1</f>
        <v>32.760867323415219</v>
      </c>
      <c r="Z51" s="6"/>
      <c r="AA51" s="6"/>
      <c r="AB51" s="6">
        <f>$K$51*$V$51</f>
        <v>35293.96</v>
      </c>
      <c r="AC51" s="6">
        <f>$M$51*$W$51</f>
        <v>0</v>
      </c>
      <c r="AD51" s="6">
        <f>$O$51*$X$51</f>
        <v>0</v>
      </c>
      <c r="AE51" s="6">
        <f ca="1">$K$51*$Y$51</f>
        <v>39181.997318804599</v>
      </c>
      <c r="AF51" s="6">
        <f>$M$51*$Z$51</f>
        <v>0</v>
      </c>
      <c r="AG51" s="6">
        <f>$O$51*$AA$51</f>
        <v>0</v>
      </c>
    </row>
    <row r="52" spans="1:33" ht="11.25" customHeight="1" x14ac:dyDescent="0.3">
      <c r="A52" s="4" t="s">
        <v>21</v>
      </c>
      <c r="B52" s="4" t="s">
        <v>37</v>
      </c>
      <c r="C52" s="4" t="s">
        <v>38</v>
      </c>
      <c r="D52" s="4" t="s">
        <v>40</v>
      </c>
      <c r="E52" s="4" t="s">
        <v>25</v>
      </c>
      <c r="F52" s="4" t="s">
        <v>25</v>
      </c>
      <c r="G52" s="4" t="s">
        <v>25</v>
      </c>
      <c r="H52" s="4" t="s">
        <v>39</v>
      </c>
      <c r="I52" s="5">
        <v>44440</v>
      </c>
      <c r="J52" s="6">
        <v>0</v>
      </c>
      <c r="K52" s="6">
        <v>0</v>
      </c>
      <c r="L52" s="6">
        <v>13.968</v>
      </c>
      <c r="M52" s="6">
        <v>13.968</v>
      </c>
      <c r="N52" s="6">
        <v>13.968</v>
      </c>
      <c r="O52" s="6">
        <v>13.968</v>
      </c>
      <c r="P52" s="6">
        <v>0</v>
      </c>
      <c r="Q52" s="4" t="s">
        <v>26</v>
      </c>
      <c r="R52" s="4">
        <v>0</v>
      </c>
      <c r="S52" s="6">
        <v>0</v>
      </c>
      <c r="T52" s="6">
        <v>14</v>
      </c>
      <c r="U52" s="6">
        <v>71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2224.88</v>
      </c>
      <c r="X52" s="6">
        <f>IF(ISERROR(VLOOKUP($U$52,'TAR FIN'!$A$1:$O$85,15,0)),0,VLOOKUP($U$52,'TAR FIN'!$A$1:$O$85,15,0))</f>
        <v>185.74</v>
      </c>
      <c r="Y52" s="6"/>
      <c r="Z52" s="6">
        <f ca="1">('TUSD BE'!$AM$11+'TUSD BF'!$AM$11+'TUSD CVA'!$AM$11)*1</f>
        <v>2505.6628291143998</v>
      </c>
      <c r="AA52" s="6">
        <f>('TE BE'!$AB$5+'TE BF'!$AB$5+'TE CVA'!$AB$5)*1</f>
        <v>166.7634981586946</v>
      </c>
      <c r="AB52" s="6">
        <f>$K$52*$V$52</f>
        <v>0</v>
      </c>
      <c r="AC52" s="6">
        <f>$M$52*$W$52</f>
        <v>31077.12384</v>
      </c>
      <c r="AD52" s="6">
        <f>$O$52*$X$52</f>
        <v>2594.4163200000003</v>
      </c>
      <c r="AE52" s="6">
        <f>$K$52*$Y$52</f>
        <v>0</v>
      </c>
      <c r="AF52" s="6">
        <f ca="1">$M$52*$Z$52</f>
        <v>34999.098397069938</v>
      </c>
      <c r="AG52" s="6">
        <f>$O$52*$AA$52</f>
        <v>2329.352542280646</v>
      </c>
    </row>
    <row r="53" spans="1:33" ht="11.25" customHeight="1" x14ac:dyDescent="0.3">
      <c r="A53" s="4" t="s">
        <v>21</v>
      </c>
      <c r="B53" s="4" t="s">
        <v>37</v>
      </c>
      <c r="C53" s="4" t="s">
        <v>38</v>
      </c>
      <c r="D53" s="4" t="s">
        <v>40</v>
      </c>
      <c r="E53" s="4" t="s">
        <v>25</v>
      </c>
      <c r="F53" s="4" t="s">
        <v>25</v>
      </c>
      <c r="G53" s="4" t="s">
        <v>25</v>
      </c>
      <c r="H53" s="4" t="s">
        <v>39</v>
      </c>
      <c r="I53" s="5">
        <v>44470</v>
      </c>
      <c r="J53" s="6">
        <v>0</v>
      </c>
      <c r="K53" s="6">
        <v>0</v>
      </c>
      <c r="L53" s="6">
        <v>6.4290000000000003</v>
      </c>
      <c r="M53" s="6">
        <v>6.4290000000000003</v>
      </c>
      <c r="N53" s="6">
        <v>6.4290000000000003</v>
      </c>
      <c r="O53" s="6">
        <v>6.4290000000000003</v>
      </c>
      <c r="P53" s="6">
        <v>0</v>
      </c>
      <c r="Q53" s="4" t="s">
        <v>26</v>
      </c>
      <c r="R53" s="4">
        <v>0</v>
      </c>
      <c r="S53" s="6">
        <v>0</v>
      </c>
      <c r="T53" s="6">
        <v>14</v>
      </c>
      <c r="U53" s="6">
        <v>71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2224.88</v>
      </c>
      <c r="X53" s="6">
        <f>IF(ISERROR(VLOOKUP($U$53,'TAR FIN'!$A$1:$O$85,15,0)),0,VLOOKUP($U$53,'TAR FIN'!$A$1:$O$85,15,0))</f>
        <v>185.74</v>
      </c>
      <c r="Y53" s="6"/>
      <c r="Z53" s="6">
        <f ca="1">('TUSD BE'!$AM$11+'TUSD BF'!$AM$11+'TUSD CVA'!$AM$11)*1</f>
        <v>2505.6628291143998</v>
      </c>
      <c r="AA53" s="6">
        <f>('TE BE'!$AB$5+'TE BF'!$AB$5+'TE CVA'!$AB$5)*1</f>
        <v>166.7634981586946</v>
      </c>
      <c r="AB53" s="6">
        <f>$K$53*$V$53</f>
        <v>0</v>
      </c>
      <c r="AC53" s="6">
        <f>$M$53*$W$53</f>
        <v>14303.753520000002</v>
      </c>
      <c r="AD53" s="6">
        <f>$O$53*$X$53</f>
        <v>1194.12246</v>
      </c>
      <c r="AE53" s="6">
        <f>$K$53*$Y$53</f>
        <v>0</v>
      </c>
      <c r="AF53" s="6">
        <f ca="1">$M$53*$Z$53</f>
        <v>16108.906328376477</v>
      </c>
      <c r="AG53" s="6">
        <f>$O$53*$AA$53</f>
        <v>1072.1225296622476</v>
      </c>
    </row>
    <row r="54" spans="1:33" ht="11.25" customHeight="1" x14ac:dyDescent="0.3">
      <c r="A54" s="4" t="s">
        <v>21</v>
      </c>
      <c r="B54" s="4" t="s">
        <v>37</v>
      </c>
      <c r="C54" s="4" t="s">
        <v>38</v>
      </c>
      <c r="D54" s="4" t="s">
        <v>40</v>
      </c>
      <c r="E54" s="4" t="s">
        <v>25</v>
      </c>
      <c r="F54" s="4" t="s">
        <v>25</v>
      </c>
      <c r="G54" s="4" t="s">
        <v>25</v>
      </c>
      <c r="H54" s="4" t="s">
        <v>39</v>
      </c>
      <c r="I54" s="5">
        <v>44501</v>
      </c>
      <c r="J54" s="6">
        <v>0</v>
      </c>
      <c r="K54" s="6">
        <v>0</v>
      </c>
      <c r="L54" s="6">
        <v>12.542999999999999</v>
      </c>
      <c r="M54" s="6">
        <v>12.542999999999999</v>
      </c>
      <c r="N54" s="6">
        <v>12.542999999999999</v>
      </c>
      <c r="O54" s="6">
        <v>12.542999999999999</v>
      </c>
      <c r="P54" s="6">
        <v>0</v>
      </c>
      <c r="Q54" s="4" t="s">
        <v>26</v>
      </c>
      <c r="R54" s="4">
        <v>0</v>
      </c>
      <c r="S54" s="6">
        <v>0</v>
      </c>
      <c r="T54" s="6">
        <v>14</v>
      </c>
      <c r="U54" s="6">
        <v>71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2224.88</v>
      </c>
      <c r="X54" s="6">
        <f>IF(ISERROR(VLOOKUP($U$54,'TAR FIN'!$A$1:$O$85,15,0)),0,VLOOKUP($U$54,'TAR FIN'!$A$1:$O$85,15,0))</f>
        <v>185.74</v>
      </c>
      <c r="Y54" s="6"/>
      <c r="Z54" s="6">
        <f ca="1">('TUSD BE'!$AM$11+'TUSD BF'!$AM$11+'TUSD CVA'!$AM$11)*1</f>
        <v>2505.6628291143998</v>
      </c>
      <c r="AA54" s="6">
        <f>('TE BE'!$AB$5+'TE BF'!$AB$5+'TE CVA'!$AB$5)*1</f>
        <v>166.7634981586946</v>
      </c>
      <c r="AB54" s="6">
        <f>$K$54*$V$54</f>
        <v>0</v>
      </c>
      <c r="AC54" s="6">
        <f>$M$54*$W$54</f>
        <v>27906.669839999999</v>
      </c>
      <c r="AD54" s="6">
        <f>$O$54*$X$54</f>
        <v>2329.7368200000001</v>
      </c>
      <c r="AE54" s="6">
        <f>$K$54*$Y$54</f>
        <v>0</v>
      </c>
      <c r="AF54" s="6">
        <f ca="1">$M$54*$Z$54</f>
        <v>31428.528865581913</v>
      </c>
      <c r="AG54" s="6">
        <f>$O$54*$AA$54</f>
        <v>2091.7145574045062</v>
      </c>
    </row>
    <row r="55" spans="1:33" ht="11.25" customHeight="1" x14ac:dyDescent="0.3">
      <c r="A55" s="4" t="s">
        <v>21</v>
      </c>
      <c r="B55" s="4" t="s">
        <v>37</v>
      </c>
      <c r="C55" s="4" t="s">
        <v>38</v>
      </c>
      <c r="D55" s="4" t="s">
        <v>40</v>
      </c>
      <c r="E55" s="4" t="s">
        <v>25</v>
      </c>
      <c r="F55" s="4" t="s">
        <v>25</v>
      </c>
      <c r="G55" s="4" t="s">
        <v>25</v>
      </c>
      <c r="H55" s="4" t="s">
        <v>39</v>
      </c>
      <c r="I55" s="5">
        <v>44531</v>
      </c>
      <c r="J55" s="6">
        <v>0</v>
      </c>
      <c r="K55" s="6">
        <v>0</v>
      </c>
      <c r="L55" s="6">
        <v>9.2059999999999995</v>
      </c>
      <c r="M55" s="6">
        <v>9.2059999999999995</v>
      </c>
      <c r="N55" s="6">
        <v>9.2059999999999995</v>
      </c>
      <c r="O55" s="6">
        <v>9.2059999999999995</v>
      </c>
      <c r="P55" s="6">
        <v>0</v>
      </c>
      <c r="Q55" s="4" t="s">
        <v>26</v>
      </c>
      <c r="R55" s="4">
        <v>0</v>
      </c>
      <c r="S55" s="6">
        <v>0</v>
      </c>
      <c r="T55" s="6">
        <v>14</v>
      </c>
      <c r="U55" s="6">
        <v>71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2224.88</v>
      </c>
      <c r="X55" s="6">
        <f>IF(ISERROR(VLOOKUP($U$55,'TAR FIN'!$A$1:$O$85,15,0)),0,VLOOKUP($U$55,'TAR FIN'!$A$1:$O$85,15,0))</f>
        <v>185.74</v>
      </c>
      <c r="Y55" s="6"/>
      <c r="Z55" s="6">
        <f ca="1">('TUSD BE'!$AM$11+'TUSD BF'!$AM$11+'TUSD CVA'!$AM$11)*1</f>
        <v>2505.6628291143998</v>
      </c>
      <c r="AA55" s="6">
        <f>('TE BE'!$AB$5+'TE BF'!$AB$5+'TE CVA'!$AB$5)*1</f>
        <v>166.7634981586946</v>
      </c>
      <c r="AB55" s="6">
        <f>$K$55*$V$55</f>
        <v>0</v>
      </c>
      <c r="AC55" s="6">
        <f>$M$55*$W$55</f>
        <v>20482.245279999999</v>
      </c>
      <c r="AD55" s="6">
        <f>$O$55*$X$55</f>
        <v>1709.9224400000001</v>
      </c>
      <c r="AE55" s="6">
        <f>$K$55*$Y$55</f>
        <v>0</v>
      </c>
      <c r="AF55" s="6">
        <f ca="1">$M$55*$Z$55</f>
        <v>23067.132004827163</v>
      </c>
      <c r="AG55" s="6">
        <f>$O$55*$AA$55</f>
        <v>1535.2247640489425</v>
      </c>
    </row>
    <row r="56" spans="1:33" ht="11.25" customHeight="1" x14ac:dyDescent="0.3">
      <c r="A56" s="4" t="s">
        <v>21</v>
      </c>
      <c r="B56" s="4" t="s">
        <v>37</v>
      </c>
      <c r="C56" s="4" t="s">
        <v>38</v>
      </c>
      <c r="D56" s="4" t="s">
        <v>40</v>
      </c>
      <c r="E56" s="4" t="s">
        <v>25</v>
      </c>
      <c r="F56" s="4" t="s">
        <v>25</v>
      </c>
      <c r="G56" s="4" t="s">
        <v>25</v>
      </c>
      <c r="H56" s="4" t="s">
        <v>39</v>
      </c>
      <c r="I56" s="5">
        <v>44562</v>
      </c>
      <c r="J56" s="6">
        <v>0</v>
      </c>
      <c r="K56" s="6">
        <v>0</v>
      </c>
      <c r="L56" s="6">
        <v>6.8529999999999998</v>
      </c>
      <c r="M56" s="6">
        <v>6.8529999999999998</v>
      </c>
      <c r="N56" s="6">
        <v>6.8529999999999998</v>
      </c>
      <c r="O56" s="6">
        <v>6.8529999999999998</v>
      </c>
      <c r="P56" s="6">
        <v>0</v>
      </c>
      <c r="Q56" s="4" t="s">
        <v>26</v>
      </c>
      <c r="R56" s="4">
        <v>0</v>
      </c>
      <c r="S56" s="6">
        <v>0</v>
      </c>
      <c r="T56" s="6">
        <v>14</v>
      </c>
      <c r="U56" s="6">
        <v>71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2224.88</v>
      </c>
      <c r="X56" s="6">
        <f>IF(ISERROR(VLOOKUP($U$56,'TAR FIN'!$A$1:$O$85,15,0)),0,VLOOKUP($U$56,'TAR FIN'!$A$1:$O$85,15,0))</f>
        <v>185.74</v>
      </c>
      <c r="Y56" s="6"/>
      <c r="Z56" s="6">
        <f ca="1">('TUSD BE'!$AM$11+'TUSD BF'!$AM$11+'TUSD CVA'!$AM$11)*1</f>
        <v>2505.6628291143998</v>
      </c>
      <c r="AA56" s="6">
        <f>('TE BE'!$AB$5+'TE BF'!$AB$5+'TE CVA'!$AB$5)*1</f>
        <v>166.7634981586946</v>
      </c>
      <c r="AB56" s="6">
        <f>$K$56*$V$56</f>
        <v>0</v>
      </c>
      <c r="AC56" s="6">
        <f>$M$56*$W$56</f>
        <v>15247.102640000001</v>
      </c>
      <c r="AD56" s="6">
        <f>$O$56*$X$56</f>
        <v>1272.8762200000001</v>
      </c>
      <c r="AE56" s="6">
        <f>$K$56*$Y$56</f>
        <v>0</v>
      </c>
      <c r="AF56" s="6">
        <f ca="1">$M$56*$Z$56</f>
        <v>17171.307367920981</v>
      </c>
      <c r="AG56" s="6">
        <f>$O$56*$AA$56</f>
        <v>1142.8302528815341</v>
      </c>
    </row>
    <row r="57" spans="1:33" ht="11.25" customHeight="1" x14ac:dyDescent="0.3">
      <c r="A57" s="4" t="s">
        <v>21</v>
      </c>
      <c r="B57" s="4" t="s">
        <v>37</v>
      </c>
      <c r="C57" s="4" t="s">
        <v>38</v>
      </c>
      <c r="D57" s="4" t="s">
        <v>40</v>
      </c>
      <c r="E57" s="4" t="s">
        <v>25</v>
      </c>
      <c r="F57" s="4" t="s">
        <v>25</v>
      </c>
      <c r="G57" s="4" t="s">
        <v>25</v>
      </c>
      <c r="H57" s="4" t="s">
        <v>39</v>
      </c>
      <c r="I57" s="5">
        <v>44593</v>
      </c>
      <c r="J57" s="6">
        <v>0</v>
      </c>
      <c r="K57" s="6">
        <v>0</v>
      </c>
      <c r="L57" s="6">
        <v>8.2240000000000002</v>
      </c>
      <c r="M57" s="6">
        <v>8.2240000000000002</v>
      </c>
      <c r="N57" s="6">
        <v>8.2240000000000002</v>
      </c>
      <c r="O57" s="6">
        <v>8.2240000000000002</v>
      </c>
      <c r="P57" s="6">
        <v>0</v>
      </c>
      <c r="Q57" s="4" t="s">
        <v>26</v>
      </c>
      <c r="R57" s="4">
        <v>0</v>
      </c>
      <c r="S57" s="6">
        <v>0</v>
      </c>
      <c r="T57" s="6">
        <v>14</v>
      </c>
      <c r="U57" s="6">
        <v>71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2224.88</v>
      </c>
      <c r="X57" s="6">
        <f>IF(ISERROR(VLOOKUP($U$57,'TAR FIN'!$A$1:$O$85,15,0)),0,VLOOKUP($U$57,'TAR FIN'!$A$1:$O$85,15,0))</f>
        <v>185.74</v>
      </c>
      <c r="Y57" s="6"/>
      <c r="Z57" s="6">
        <f ca="1">('TUSD BE'!$AM$11+'TUSD BF'!$AM$11+'TUSD CVA'!$AM$11)*1</f>
        <v>2505.6628291143998</v>
      </c>
      <c r="AA57" s="6">
        <f>('TE BE'!$AB$5+'TE BF'!$AB$5+'TE CVA'!$AB$5)*1</f>
        <v>166.7634981586946</v>
      </c>
      <c r="AB57" s="6">
        <f>$K$57*$V$57</f>
        <v>0</v>
      </c>
      <c r="AC57" s="6">
        <f>$M$57*$W$57</f>
        <v>18297.413120000001</v>
      </c>
      <c r="AD57" s="6">
        <f>$O$57*$X$57</f>
        <v>1527.5257600000002</v>
      </c>
      <c r="AE57" s="6">
        <f>$K$57*$Y$57</f>
        <v>0</v>
      </c>
      <c r="AF57" s="6">
        <f ca="1">$M$57*$Z$57</f>
        <v>20606.571106636824</v>
      </c>
      <c r="AG57" s="6">
        <f>$O$57*$AA$57</f>
        <v>1371.4630088571043</v>
      </c>
    </row>
    <row r="58" spans="1:33" ht="11.25" customHeight="1" x14ac:dyDescent="0.3">
      <c r="A58" s="4" t="s">
        <v>21</v>
      </c>
      <c r="B58" s="4" t="s">
        <v>37</v>
      </c>
      <c r="C58" s="4" t="s">
        <v>38</v>
      </c>
      <c r="D58" s="4" t="s">
        <v>40</v>
      </c>
      <c r="E58" s="4" t="s">
        <v>25</v>
      </c>
      <c r="F58" s="4" t="s">
        <v>25</v>
      </c>
      <c r="G58" s="4" t="s">
        <v>25</v>
      </c>
      <c r="H58" s="4" t="s">
        <v>39</v>
      </c>
      <c r="I58" s="5">
        <v>44621</v>
      </c>
      <c r="J58" s="6">
        <v>0</v>
      </c>
      <c r="K58" s="6">
        <v>0</v>
      </c>
      <c r="L58" s="6">
        <v>6.6360000000000001</v>
      </c>
      <c r="M58" s="6">
        <v>6.6360000000000001</v>
      </c>
      <c r="N58" s="6">
        <v>6.6360000000000001</v>
      </c>
      <c r="O58" s="6">
        <v>6.6360000000000001</v>
      </c>
      <c r="P58" s="6">
        <v>0</v>
      </c>
      <c r="Q58" s="4" t="s">
        <v>26</v>
      </c>
      <c r="R58" s="4">
        <v>0</v>
      </c>
      <c r="S58" s="6">
        <v>0</v>
      </c>
      <c r="T58" s="6">
        <v>14</v>
      </c>
      <c r="U58" s="6">
        <v>71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2224.88</v>
      </c>
      <c r="X58" s="6">
        <f>IF(ISERROR(VLOOKUP($U$58,'TAR FIN'!$A$1:$O$85,15,0)),0,VLOOKUP($U$58,'TAR FIN'!$A$1:$O$85,15,0))</f>
        <v>185.74</v>
      </c>
      <c r="Y58" s="6"/>
      <c r="Z58" s="6">
        <f ca="1">('TUSD BE'!$AM$11+'TUSD BF'!$AM$11+'TUSD CVA'!$AM$11)*1</f>
        <v>2505.6628291143998</v>
      </c>
      <c r="AA58" s="6">
        <f>('TE BE'!$AB$5+'TE BF'!$AB$5+'TE CVA'!$AB$5)*1</f>
        <v>166.7634981586946</v>
      </c>
      <c r="AB58" s="6">
        <f>$K$58*$V$58</f>
        <v>0</v>
      </c>
      <c r="AC58" s="6">
        <f>$M$58*$W$58</f>
        <v>14764.303680000001</v>
      </c>
      <c r="AD58" s="6">
        <f>$O$58*$X$58</f>
        <v>1232.5706400000001</v>
      </c>
      <c r="AE58" s="6">
        <f>$K$58*$Y$58</f>
        <v>0</v>
      </c>
      <c r="AF58" s="6">
        <f ca="1">$M$58*$Z$58</f>
        <v>16627.578534003158</v>
      </c>
      <c r="AG58" s="6">
        <f>$O$58*$AA$58</f>
        <v>1106.6425737810973</v>
      </c>
    </row>
    <row r="59" spans="1:33" ht="11.25" customHeight="1" x14ac:dyDescent="0.3">
      <c r="A59" s="4" t="s">
        <v>21</v>
      </c>
      <c r="B59" s="4" t="s">
        <v>37</v>
      </c>
      <c r="C59" s="4" t="s">
        <v>38</v>
      </c>
      <c r="D59" s="4" t="s">
        <v>40</v>
      </c>
      <c r="E59" s="4" t="s">
        <v>25</v>
      </c>
      <c r="F59" s="4" t="s">
        <v>25</v>
      </c>
      <c r="G59" s="4" t="s">
        <v>25</v>
      </c>
      <c r="H59" s="4" t="s">
        <v>39</v>
      </c>
      <c r="I59" s="5">
        <v>44652</v>
      </c>
      <c r="J59" s="6">
        <v>0</v>
      </c>
      <c r="K59" s="6">
        <v>0</v>
      </c>
      <c r="L59" s="6">
        <v>8.109</v>
      </c>
      <c r="M59" s="6">
        <v>8.109</v>
      </c>
      <c r="N59" s="6">
        <v>8.109</v>
      </c>
      <c r="O59" s="6">
        <v>8.109</v>
      </c>
      <c r="P59" s="6">
        <v>0</v>
      </c>
      <c r="Q59" s="4" t="s">
        <v>26</v>
      </c>
      <c r="R59" s="4">
        <v>0</v>
      </c>
      <c r="S59" s="6">
        <v>0</v>
      </c>
      <c r="T59" s="6">
        <v>14</v>
      </c>
      <c r="U59" s="6">
        <v>71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2224.88</v>
      </c>
      <c r="X59" s="6">
        <f>IF(ISERROR(VLOOKUP($U$59,'TAR FIN'!$A$1:$O$85,15,0)),0,VLOOKUP($U$59,'TAR FIN'!$A$1:$O$85,15,0))</f>
        <v>185.74</v>
      </c>
      <c r="Y59" s="6"/>
      <c r="Z59" s="6">
        <f ca="1">('TUSD BE'!$AM$11+'TUSD BF'!$AM$11+'TUSD CVA'!$AM$11)*1</f>
        <v>2505.6628291143998</v>
      </c>
      <c r="AA59" s="6">
        <f>('TE BE'!$AB$5+'TE BF'!$AB$5+'TE CVA'!$AB$5)*1</f>
        <v>166.7634981586946</v>
      </c>
      <c r="AB59" s="6">
        <f>$K$59*$V$59</f>
        <v>0</v>
      </c>
      <c r="AC59" s="6">
        <f>$M$59*$W$59</f>
        <v>18041.551920000002</v>
      </c>
      <c r="AD59" s="6">
        <f>$O$59*$X$59</f>
        <v>1506.1656600000001</v>
      </c>
      <c r="AE59" s="6">
        <f>$K$59*$Y$59</f>
        <v>0</v>
      </c>
      <c r="AF59" s="6">
        <f ca="1">$M$59*$Z$59</f>
        <v>20318.419881288668</v>
      </c>
      <c r="AG59" s="6">
        <f>$O$59*$AA$59</f>
        <v>1352.2852065688546</v>
      </c>
    </row>
    <row r="60" spans="1:33" ht="11.25" customHeight="1" x14ac:dyDescent="0.3">
      <c r="A60" s="4" t="s">
        <v>21</v>
      </c>
      <c r="B60" s="4" t="s">
        <v>37</v>
      </c>
      <c r="C60" s="4" t="s">
        <v>38</v>
      </c>
      <c r="D60" s="4" t="s">
        <v>40</v>
      </c>
      <c r="E60" s="4" t="s">
        <v>25</v>
      </c>
      <c r="F60" s="4" t="s">
        <v>25</v>
      </c>
      <c r="G60" s="4" t="s">
        <v>25</v>
      </c>
      <c r="H60" s="4" t="s">
        <v>39</v>
      </c>
      <c r="I60" s="5">
        <v>44682</v>
      </c>
      <c r="J60" s="6">
        <v>0</v>
      </c>
      <c r="K60" s="6">
        <v>0</v>
      </c>
      <c r="L60" s="6">
        <v>6.93</v>
      </c>
      <c r="M60" s="6">
        <v>6.93</v>
      </c>
      <c r="N60" s="6">
        <v>6.93</v>
      </c>
      <c r="O60" s="6">
        <v>6.93</v>
      </c>
      <c r="P60" s="6">
        <v>0</v>
      </c>
      <c r="Q60" s="4" t="s">
        <v>26</v>
      </c>
      <c r="R60" s="4">
        <v>0</v>
      </c>
      <c r="S60" s="6">
        <v>0</v>
      </c>
      <c r="T60" s="6">
        <v>14</v>
      </c>
      <c r="U60" s="6">
        <v>71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2224.88</v>
      </c>
      <c r="X60" s="6">
        <f>IF(ISERROR(VLOOKUP($U$60,'TAR FIN'!$A$1:$O$85,15,0)),0,VLOOKUP($U$60,'TAR FIN'!$A$1:$O$85,15,0))</f>
        <v>185.74</v>
      </c>
      <c r="Y60" s="6"/>
      <c r="Z60" s="6">
        <f ca="1">('TUSD BE'!$AM$11+'TUSD BF'!$AM$11+'TUSD CVA'!$AM$11)*1</f>
        <v>2505.6628291143998</v>
      </c>
      <c r="AA60" s="6">
        <f>('TE BE'!$AB$5+'TE BF'!$AB$5+'TE CVA'!$AB$5)*1</f>
        <v>166.7634981586946</v>
      </c>
      <c r="AB60" s="6">
        <f>$K$60*$V$60</f>
        <v>0</v>
      </c>
      <c r="AC60" s="6">
        <f>$M$60*$W$60</f>
        <v>15418.4184</v>
      </c>
      <c r="AD60" s="6">
        <f>$O$60*$X$60</f>
        <v>1287.1782000000001</v>
      </c>
      <c r="AE60" s="6">
        <f>$K$60*$Y$60</f>
        <v>0</v>
      </c>
      <c r="AF60" s="6">
        <f ca="1">$M$60*$Z$60</f>
        <v>17364.243405762791</v>
      </c>
      <c r="AG60" s="6">
        <f>$O$60*$AA$60</f>
        <v>1155.6710422397537</v>
      </c>
    </row>
    <row r="61" spans="1:33" ht="11.25" customHeight="1" x14ac:dyDescent="0.3">
      <c r="A61" s="4" t="s">
        <v>27</v>
      </c>
      <c r="B61" s="4" t="s">
        <v>37</v>
      </c>
      <c r="C61" s="4" t="s">
        <v>38</v>
      </c>
      <c r="D61" s="4" t="s">
        <v>40</v>
      </c>
      <c r="E61" s="4" t="s">
        <v>25</v>
      </c>
      <c r="F61" s="4" t="s">
        <v>25</v>
      </c>
      <c r="G61" s="4" t="s">
        <v>25</v>
      </c>
      <c r="H61" s="4" t="s">
        <v>39</v>
      </c>
      <c r="I61" s="5">
        <v>44682</v>
      </c>
      <c r="J61" s="6">
        <v>0</v>
      </c>
      <c r="K61" s="6">
        <v>0</v>
      </c>
      <c r="L61" s="6">
        <v>-1.45</v>
      </c>
      <c r="M61" s="6">
        <v>-1.45</v>
      </c>
      <c r="N61" s="6">
        <v>-1.45</v>
      </c>
      <c r="O61" s="6">
        <v>-1.45</v>
      </c>
      <c r="P61" s="6">
        <v>0</v>
      </c>
      <c r="Q61" s="4" t="s">
        <v>26</v>
      </c>
      <c r="R61" s="4">
        <v>0</v>
      </c>
      <c r="S61" s="6">
        <v>0</v>
      </c>
      <c r="T61" s="6">
        <v>14</v>
      </c>
      <c r="U61" s="6">
        <v>71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2224.88</v>
      </c>
      <c r="X61" s="6">
        <f>IF(ISERROR(VLOOKUP($U$61,'TAR FIN'!$A$1:$O$85,15,0)),0,VLOOKUP($U$61,'TAR FIN'!$A$1:$O$85,15,0))</f>
        <v>185.74</v>
      </c>
      <c r="Y61" s="6"/>
      <c r="Z61" s="6">
        <f ca="1">('TUSD BE'!$AM$11+'TUSD BF'!$AM$11+'TUSD CVA'!$AM$11)*1</f>
        <v>2505.6628291143998</v>
      </c>
      <c r="AA61" s="6">
        <f>('TE BE'!$AB$5+'TE BF'!$AB$5+'TE CVA'!$AB$5)*1</f>
        <v>166.7634981586946</v>
      </c>
      <c r="AB61" s="6">
        <f>$K$61*$V$61</f>
        <v>0</v>
      </c>
      <c r="AC61" s="6">
        <f>$M$61*$W$61</f>
        <v>-3226.076</v>
      </c>
      <c r="AD61" s="6">
        <f>$O$61*$X$61</f>
        <v>-269.32299999999998</v>
      </c>
      <c r="AE61" s="6">
        <f>$K$61*$Y$61</f>
        <v>0</v>
      </c>
      <c r="AF61" s="6">
        <f ca="1">$M$61*$Z$61</f>
        <v>-3633.2111022158797</v>
      </c>
      <c r="AG61" s="6">
        <f>$O$61*$AA$61</f>
        <v>-241.80707233010716</v>
      </c>
    </row>
    <row r="62" spans="1:33" ht="11.25" customHeight="1" x14ac:dyDescent="0.3">
      <c r="A62" s="4" t="s">
        <v>21</v>
      </c>
      <c r="B62" s="4" t="s">
        <v>37</v>
      </c>
      <c r="C62" s="4" t="s">
        <v>38</v>
      </c>
      <c r="D62" s="4" t="s">
        <v>40</v>
      </c>
      <c r="E62" s="4" t="s">
        <v>25</v>
      </c>
      <c r="F62" s="4" t="s">
        <v>25</v>
      </c>
      <c r="G62" s="4" t="s">
        <v>25</v>
      </c>
      <c r="H62" s="4" t="s">
        <v>39</v>
      </c>
      <c r="I62" s="5">
        <v>44713</v>
      </c>
      <c r="J62" s="6">
        <v>0</v>
      </c>
      <c r="K62" s="6">
        <v>0</v>
      </c>
      <c r="L62" s="6">
        <v>5.4790000000000001</v>
      </c>
      <c r="M62" s="6">
        <v>5.4790000000000001</v>
      </c>
      <c r="N62" s="6">
        <v>5.4790000000000001</v>
      </c>
      <c r="O62" s="6">
        <v>5.4790000000000001</v>
      </c>
      <c r="P62" s="6">
        <v>0</v>
      </c>
      <c r="Q62" s="4" t="s">
        <v>26</v>
      </c>
      <c r="R62" s="4">
        <v>0</v>
      </c>
      <c r="S62" s="6">
        <v>0</v>
      </c>
      <c r="T62" s="6">
        <v>14</v>
      </c>
      <c r="U62" s="6">
        <v>71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2224.88</v>
      </c>
      <c r="X62" s="6">
        <f>IF(ISERROR(VLOOKUP($U$62,'TAR FIN'!$A$1:$O$85,15,0)),0,VLOOKUP($U$62,'TAR FIN'!$A$1:$O$85,15,0))</f>
        <v>185.74</v>
      </c>
      <c r="Y62" s="6"/>
      <c r="Z62" s="6">
        <f ca="1">('TUSD BE'!$AM$11+'TUSD BF'!$AM$11+'TUSD CVA'!$AM$11)*1</f>
        <v>2505.6628291143998</v>
      </c>
      <c r="AA62" s="6">
        <f>('TE BE'!$AB$5+'TE BF'!$AB$5+'TE CVA'!$AB$5)*1</f>
        <v>166.7634981586946</v>
      </c>
      <c r="AB62" s="6">
        <f>$K$62*$V$62</f>
        <v>0</v>
      </c>
      <c r="AC62" s="6">
        <f>$M$62*$W$62</f>
        <v>12190.117520000002</v>
      </c>
      <c r="AD62" s="6">
        <f>$O$62*$X$62</f>
        <v>1017.6694600000001</v>
      </c>
      <c r="AE62" s="6">
        <f>$K$62*$Y$62</f>
        <v>0</v>
      </c>
      <c r="AF62" s="6">
        <f ca="1">$M$62*$Z$62</f>
        <v>13728.526640717797</v>
      </c>
      <c r="AG62" s="6">
        <f>$O$62*$AA$62</f>
        <v>913.69720641148774</v>
      </c>
    </row>
    <row r="63" spans="1:33" ht="11.25" customHeight="1" x14ac:dyDescent="0.3">
      <c r="A63" s="4" t="s">
        <v>21</v>
      </c>
      <c r="B63" s="4" t="s">
        <v>37</v>
      </c>
      <c r="C63" s="4" t="s">
        <v>38</v>
      </c>
      <c r="D63" s="4" t="s">
        <v>40</v>
      </c>
      <c r="E63" s="4" t="s">
        <v>25</v>
      </c>
      <c r="F63" s="4" t="s">
        <v>25</v>
      </c>
      <c r="G63" s="4" t="s">
        <v>25</v>
      </c>
      <c r="H63" s="4" t="s">
        <v>39</v>
      </c>
      <c r="I63" s="5">
        <v>44743</v>
      </c>
      <c r="J63" s="6">
        <v>0</v>
      </c>
      <c r="K63" s="6">
        <v>0</v>
      </c>
      <c r="L63" s="6">
        <v>16.074999999999999</v>
      </c>
      <c r="M63" s="6">
        <v>16.074999999999999</v>
      </c>
      <c r="N63" s="6">
        <v>16.074999999999999</v>
      </c>
      <c r="O63" s="6">
        <v>16.074999999999999</v>
      </c>
      <c r="P63" s="6">
        <v>0</v>
      </c>
      <c r="Q63" s="4" t="s">
        <v>26</v>
      </c>
      <c r="R63" s="4">
        <v>0</v>
      </c>
      <c r="S63" s="6">
        <v>0</v>
      </c>
      <c r="T63" s="6">
        <v>14</v>
      </c>
      <c r="U63" s="6">
        <v>71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2224.88</v>
      </c>
      <c r="X63" s="6">
        <f>IF(ISERROR(VLOOKUP($U$63,'TAR FIN'!$A$1:$O$85,15,0)),0,VLOOKUP($U$63,'TAR FIN'!$A$1:$O$85,15,0))</f>
        <v>185.74</v>
      </c>
      <c r="Y63" s="6"/>
      <c r="Z63" s="6">
        <f ca="1">('TUSD BE'!$AM$11+'TUSD BF'!$AM$11+'TUSD CVA'!$AM$11)*1</f>
        <v>2505.6628291143998</v>
      </c>
      <c r="AA63" s="6">
        <f>('TE BE'!$AB$5+'TE BF'!$AB$5+'TE CVA'!$AB$5)*1</f>
        <v>166.7634981586946</v>
      </c>
      <c r="AB63" s="6">
        <f>$K$63*$V$63</f>
        <v>0</v>
      </c>
      <c r="AC63" s="6">
        <f>$M$63*$W$63</f>
        <v>35764.946000000004</v>
      </c>
      <c r="AD63" s="6">
        <f>$O$63*$X$63</f>
        <v>2985.7705000000001</v>
      </c>
      <c r="AE63" s="6">
        <f>$K$63*$Y$63</f>
        <v>0</v>
      </c>
      <c r="AF63" s="6">
        <f ca="1">$M$63*$Z$63</f>
        <v>40278.529978013976</v>
      </c>
      <c r="AG63" s="6">
        <f>$O$63*$AA$63</f>
        <v>2680.7232329010158</v>
      </c>
    </row>
    <row r="64" spans="1:33" ht="11.25" customHeight="1" x14ac:dyDescent="0.3">
      <c r="A64" s="4" t="s">
        <v>21</v>
      </c>
      <c r="B64" s="4" t="s">
        <v>37</v>
      </c>
      <c r="C64" s="4" t="s">
        <v>38</v>
      </c>
      <c r="D64" s="4" t="s">
        <v>40</v>
      </c>
      <c r="E64" s="4" t="s">
        <v>25</v>
      </c>
      <c r="F64" s="4" t="s">
        <v>25</v>
      </c>
      <c r="G64" s="4" t="s">
        <v>25</v>
      </c>
      <c r="H64" s="4" t="s">
        <v>39</v>
      </c>
      <c r="I64" s="5">
        <v>44774</v>
      </c>
      <c r="J64" s="6">
        <v>0</v>
      </c>
      <c r="K64" s="6">
        <v>0</v>
      </c>
      <c r="L64" s="6">
        <v>8.0719999999999992</v>
      </c>
      <c r="M64" s="6">
        <v>8.0719999999999992</v>
      </c>
      <c r="N64" s="6">
        <v>8.0719999999999992</v>
      </c>
      <c r="O64" s="6">
        <v>8.0719999999999992</v>
      </c>
      <c r="P64" s="6">
        <v>0</v>
      </c>
      <c r="Q64" s="4" t="s">
        <v>26</v>
      </c>
      <c r="R64" s="4">
        <v>0</v>
      </c>
      <c r="S64" s="6">
        <v>0</v>
      </c>
      <c r="T64" s="6">
        <v>14</v>
      </c>
      <c r="U64" s="6">
        <v>71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2224.88</v>
      </c>
      <c r="X64" s="6">
        <f>IF(ISERROR(VLOOKUP($U$64,'TAR FIN'!$A$1:$O$85,15,0)),0,VLOOKUP($U$64,'TAR FIN'!$A$1:$O$85,15,0))</f>
        <v>185.74</v>
      </c>
      <c r="Y64" s="6"/>
      <c r="Z64" s="6">
        <f ca="1">('TUSD BE'!$AM$11+'TUSD BF'!$AM$11+'TUSD CVA'!$AM$11)*1</f>
        <v>2505.6628291143998</v>
      </c>
      <c r="AA64" s="6">
        <f>('TE BE'!$AB$5+'TE BF'!$AB$5+'TE CVA'!$AB$5)*1</f>
        <v>166.7634981586946</v>
      </c>
      <c r="AB64" s="6">
        <f>$K$64*$V$64</f>
        <v>0</v>
      </c>
      <c r="AC64" s="6">
        <f>$M$64*$W$64</f>
        <v>17959.231359999998</v>
      </c>
      <c r="AD64" s="6">
        <f>$O$64*$X$64</f>
        <v>1499.2932799999999</v>
      </c>
      <c r="AE64" s="6">
        <f>$K$64*$Y$64</f>
        <v>0</v>
      </c>
      <c r="AF64" s="6">
        <f ca="1">$M$64*$Z$64</f>
        <v>20225.710356611431</v>
      </c>
      <c r="AG64" s="6">
        <f>$O$64*$AA$64</f>
        <v>1346.1149571369826</v>
      </c>
    </row>
    <row r="65" spans="1:33" ht="11.25" customHeight="1" x14ac:dyDescent="0.3">
      <c r="A65" s="4" t="s">
        <v>21</v>
      </c>
      <c r="B65" s="4" t="s">
        <v>37</v>
      </c>
      <c r="C65" s="4" t="s">
        <v>38</v>
      </c>
      <c r="D65" s="4" t="s">
        <v>36</v>
      </c>
      <c r="E65" s="4" t="s">
        <v>25</v>
      </c>
      <c r="F65" s="4" t="s">
        <v>25</v>
      </c>
      <c r="G65" s="4" t="s">
        <v>25</v>
      </c>
      <c r="H65" s="4" t="s">
        <v>34</v>
      </c>
      <c r="I65" s="5">
        <v>44440</v>
      </c>
      <c r="J65" s="6">
        <v>0</v>
      </c>
      <c r="K65" s="6">
        <v>0</v>
      </c>
      <c r="L65" s="6">
        <v>56.646000000000001</v>
      </c>
      <c r="M65" s="6">
        <v>56.646000000000001</v>
      </c>
      <c r="N65" s="6">
        <v>56.646000000000001</v>
      </c>
      <c r="O65" s="6">
        <v>56.646000000000001</v>
      </c>
      <c r="P65" s="6">
        <v>0</v>
      </c>
      <c r="Q65" s="4" t="s">
        <v>26</v>
      </c>
      <c r="R65" s="4">
        <v>0</v>
      </c>
      <c r="S65" s="6">
        <v>0</v>
      </c>
      <c r="T65" s="6">
        <v>16</v>
      </c>
      <c r="U65" s="6">
        <v>72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73.98</v>
      </c>
      <c r="X65" s="6">
        <f>IF(ISERROR(VLOOKUP($U$65,'TAR FIN'!$A$1:$O$85,15,0)),0,VLOOKUP($U$65,'TAR FIN'!$A$1:$O$85,15,0))</f>
        <v>185.74</v>
      </c>
      <c r="Y65" s="6"/>
      <c r="Z65" s="6">
        <f ca="1">('TUSD BE'!$AM$12+'TUSD BF'!$AM$12+'TUSD CVA'!$AM$12)*1</f>
        <v>104.33304759371407</v>
      </c>
      <c r="AA65" s="6">
        <f>('TE BE'!$AB$6+'TE BF'!$AB$6+'TE CVA'!$AB$6)*1</f>
        <v>166.7634981586946</v>
      </c>
      <c r="AB65" s="6">
        <f>$K$65*$V$65</f>
        <v>0</v>
      </c>
      <c r="AC65" s="6">
        <f>$M$65*$W$65</f>
        <v>4190.6710800000001</v>
      </c>
      <c r="AD65" s="6">
        <f>$O$65*$X$65</f>
        <v>10521.428040000001</v>
      </c>
      <c r="AE65" s="6">
        <f>$K$65*$Y$65</f>
        <v>0</v>
      </c>
      <c r="AF65" s="6">
        <f ca="1">$M$65*$Z$65</f>
        <v>5910.0498139935271</v>
      </c>
      <c r="AG65" s="6">
        <f>$O$65*$AA$65</f>
        <v>9446.4851166974149</v>
      </c>
    </row>
    <row r="66" spans="1:33" ht="11.25" customHeight="1" x14ac:dyDescent="0.3">
      <c r="A66" s="4" t="s">
        <v>21</v>
      </c>
      <c r="B66" s="4" t="s">
        <v>37</v>
      </c>
      <c r="C66" s="4" t="s">
        <v>38</v>
      </c>
      <c r="D66" s="4" t="s">
        <v>36</v>
      </c>
      <c r="E66" s="4" t="s">
        <v>25</v>
      </c>
      <c r="F66" s="4" t="s">
        <v>25</v>
      </c>
      <c r="G66" s="4" t="s">
        <v>25</v>
      </c>
      <c r="H66" s="4" t="s">
        <v>34</v>
      </c>
      <c r="I66" s="5">
        <v>44470</v>
      </c>
      <c r="J66" s="6">
        <v>0</v>
      </c>
      <c r="K66" s="6">
        <v>0</v>
      </c>
      <c r="L66" s="6">
        <v>43.018000000000001</v>
      </c>
      <c r="M66" s="6">
        <v>43.018000000000001</v>
      </c>
      <c r="N66" s="6">
        <v>43.018000000000001</v>
      </c>
      <c r="O66" s="6">
        <v>43.018000000000001</v>
      </c>
      <c r="P66" s="6">
        <v>0</v>
      </c>
      <c r="Q66" s="4" t="s">
        <v>26</v>
      </c>
      <c r="R66" s="4">
        <v>0</v>
      </c>
      <c r="S66" s="6">
        <v>0</v>
      </c>
      <c r="T66" s="6">
        <v>16</v>
      </c>
      <c r="U66" s="6">
        <v>72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73.98</v>
      </c>
      <c r="X66" s="6">
        <f>IF(ISERROR(VLOOKUP($U$66,'TAR FIN'!$A$1:$O$85,15,0)),0,VLOOKUP($U$66,'TAR FIN'!$A$1:$O$85,15,0))</f>
        <v>185.74</v>
      </c>
      <c r="Y66" s="6"/>
      <c r="Z66" s="6">
        <f ca="1">('TUSD BE'!$AM$12+'TUSD BF'!$AM$12+'TUSD CVA'!$AM$12)*1</f>
        <v>104.33304759371407</v>
      </c>
      <c r="AA66" s="6">
        <f>('TE BE'!$AB$6+'TE BF'!$AB$6+'TE CVA'!$AB$6)*1</f>
        <v>166.7634981586946</v>
      </c>
      <c r="AB66" s="6">
        <f>$K$66*$V$66</f>
        <v>0</v>
      </c>
      <c r="AC66" s="6">
        <f>$M$66*$W$66</f>
        <v>3182.4716400000002</v>
      </c>
      <c r="AD66" s="6">
        <f>$O$66*$X$66</f>
        <v>7990.1633200000006</v>
      </c>
      <c r="AE66" s="6">
        <f>$K$66*$Y$66</f>
        <v>0</v>
      </c>
      <c r="AF66" s="6">
        <f ca="1">$M$66*$Z$66</f>
        <v>4488.1990413863923</v>
      </c>
      <c r="AG66" s="6">
        <f>$O$66*$AA$66</f>
        <v>7173.8321637907247</v>
      </c>
    </row>
    <row r="67" spans="1:33" ht="11.25" customHeight="1" x14ac:dyDescent="0.3">
      <c r="A67" s="4" t="s">
        <v>21</v>
      </c>
      <c r="B67" s="4" t="s">
        <v>37</v>
      </c>
      <c r="C67" s="4" t="s">
        <v>38</v>
      </c>
      <c r="D67" s="4" t="s">
        <v>36</v>
      </c>
      <c r="E67" s="4" t="s">
        <v>25</v>
      </c>
      <c r="F67" s="4" t="s">
        <v>25</v>
      </c>
      <c r="G67" s="4" t="s">
        <v>25</v>
      </c>
      <c r="H67" s="4" t="s">
        <v>34</v>
      </c>
      <c r="I67" s="5">
        <v>44501</v>
      </c>
      <c r="J67" s="6">
        <v>0</v>
      </c>
      <c r="K67" s="6">
        <v>0</v>
      </c>
      <c r="L67" s="6">
        <v>57.822000000000003</v>
      </c>
      <c r="M67" s="6">
        <v>57.822000000000003</v>
      </c>
      <c r="N67" s="6">
        <v>57.822000000000003</v>
      </c>
      <c r="O67" s="6">
        <v>57.822000000000003</v>
      </c>
      <c r="P67" s="6">
        <v>0</v>
      </c>
      <c r="Q67" s="4" t="s">
        <v>26</v>
      </c>
      <c r="R67" s="4">
        <v>0</v>
      </c>
      <c r="S67" s="6">
        <v>0</v>
      </c>
      <c r="T67" s="6">
        <v>16</v>
      </c>
      <c r="U67" s="6">
        <v>72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73.98</v>
      </c>
      <c r="X67" s="6">
        <f>IF(ISERROR(VLOOKUP($U$67,'TAR FIN'!$A$1:$O$85,15,0)),0,VLOOKUP($U$67,'TAR FIN'!$A$1:$O$85,15,0))</f>
        <v>185.74</v>
      </c>
      <c r="Y67" s="6"/>
      <c r="Z67" s="6">
        <f ca="1">('TUSD BE'!$AM$12+'TUSD BF'!$AM$12+'TUSD CVA'!$AM$12)*1</f>
        <v>104.33304759371407</v>
      </c>
      <c r="AA67" s="6">
        <f>('TE BE'!$AB$6+'TE BF'!$AB$6+'TE CVA'!$AB$6)*1</f>
        <v>166.7634981586946</v>
      </c>
      <c r="AB67" s="6">
        <f>$K$67*$V$67</f>
        <v>0</v>
      </c>
      <c r="AC67" s="6">
        <f>$M$67*$W$67</f>
        <v>4277.6715600000007</v>
      </c>
      <c r="AD67" s="6">
        <f>$O$67*$X$67</f>
        <v>10739.85828</v>
      </c>
      <c r="AE67" s="6">
        <f>$K$67*$Y$67</f>
        <v>0</v>
      </c>
      <c r="AF67" s="6">
        <f ca="1">$M$67*$Z$67</f>
        <v>6032.7454779637355</v>
      </c>
      <c r="AG67" s="6">
        <f>$O$67*$AA$67</f>
        <v>9642.5989905320403</v>
      </c>
    </row>
    <row r="68" spans="1:33" ht="11.25" customHeight="1" x14ac:dyDescent="0.3">
      <c r="A68" s="4" t="s">
        <v>21</v>
      </c>
      <c r="B68" s="4" t="s">
        <v>37</v>
      </c>
      <c r="C68" s="4" t="s">
        <v>38</v>
      </c>
      <c r="D68" s="4" t="s">
        <v>36</v>
      </c>
      <c r="E68" s="4" t="s">
        <v>25</v>
      </c>
      <c r="F68" s="4" t="s">
        <v>25</v>
      </c>
      <c r="G68" s="4" t="s">
        <v>25</v>
      </c>
      <c r="H68" s="4" t="s">
        <v>34</v>
      </c>
      <c r="I68" s="5">
        <v>44531</v>
      </c>
      <c r="J68" s="6">
        <v>0</v>
      </c>
      <c r="K68" s="6">
        <v>0</v>
      </c>
      <c r="L68" s="6">
        <v>37.273000000000003</v>
      </c>
      <c r="M68" s="6">
        <v>37.273000000000003</v>
      </c>
      <c r="N68" s="6">
        <v>37.273000000000003</v>
      </c>
      <c r="O68" s="6">
        <v>37.273000000000003</v>
      </c>
      <c r="P68" s="6">
        <v>0</v>
      </c>
      <c r="Q68" s="4" t="s">
        <v>26</v>
      </c>
      <c r="R68" s="4">
        <v>0</v>
      </c>
      <c r="S68" s="6">
        <v>0</v>
      </c>
      <c r="T68" s="6">
        <v>16</v>
      </c>
      <c r="U68" s="6">
        <v>72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73.98</v>
      </c>
      <c r="X68" s="6">
        <f>IF(ISERROR(VLOOKUP($U$68,'TAR FIN'!$A$1:$O$85,15,0)),0,VLOOKUP($U$68,'TAR FIN'!$A$1:$O$85,15,0))</f>
        <v>185.74</v>
      </c>
      <c r="Y68" s="6"/>
      <c r="Z68" s="6">
        <f ca="1">('TUSD BE'!$AM$12+'TUSD BF'!$AM$12+'TUSD CVA'!$AM$12)*1</f>
        <v>104.33304759371407</v>
      </c>
      <c r="AA68" s="6">
        <f>('TE BE'!$AB$6+'TE BF'!$AB$6+'TE CVA'!$AB$6)*1</f>
        <v>166.7634981586946</v>
      </c>
      <c r="AB68" s="6">
        <f>$K$68*$V$68</f>
        <v>0</v>
      </c>
      <c r="AC68" s="6">
        <f>$M$68*$W$68</f>
        <v>2757.4565400000006</v>
      </c>
      <c r="AD68" s="6">
        <f>$O$68*$X$68</f>
        <v>6923.0870200000008</v>
      </c>
      <c r="AE68" s="6">
        <f>$K$68*$Y$68</f>
        <v>0</v>
      </c>
      <c r="AF68" s="6">
        <f ca="1">$M$68*$Z$68</f>
        <v>3888.8056829605048</v>
      </c>
      <c r="AG68" s="6">
        <f>$O$68*$AA$68</f>
        <v>6215.7758668690249</v>
      </c>
    </row>
    <row r="69" spans="1:33" ht="11.25" customHeight="1" x14ac:dyDescent="0.3">
      <c r="A69" s="4" t="s">
        <v>21</v>
      </c>
      <c r="B69" s="4" t="s">
        <v>37</v>
      </c>
      <c r="C69" s="4" t="s">
        <v>38</v>
      </c>
      <c r="D69" s="4" t="s">
        <v>36</v>
      </c>
      <c r="E69" s="4" t="s">
        <v>25</v>
      </c>
      <c r="F69" s="4" t="s">
        <v>25</v>
      </c>
      <c r="G69" s="4" t="s">
        <v>25</v>
      </c>
      <c r="H69" s="4" t="s">
        <v>34</v>
      </c>
      <c r="I69" s="5">
        <v>44562</v>
      </c>
      <c r="J69" s="6">
        <v>0</v>
      </c>
      <c r="K69" s="6">
        <v>0</v>
      </c>
      <c r="L69" s="6">
        <v>54.472999999999999</v>
      </c>
      <c r="M69" s="6">
        <v>54.472999999999999</v>
      </c>
      <c r="N69" s="6">
        <v>54.472999999999999</v>
      </c>
      <c r="O69" s="6">
        <v>54.472999999999999</v>
      </c>
      <c r="P69" s="6">
        <v>0</v>
      </c>
      <c r="Q69" s="4" t="s">
        <v>26</v>
      </c>
      <c r="R69" s="4">
        <v>0</v>
      </c>
      <c r="S69" s="6">
        <v>0</v>
      </c>
      <c r="T69" s="6">
        <v>16</v>
      </c>
      <c r="U69" s="6">
        <v>72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73.98</v>
      </c>
      <c r="X69" s="6">
        <f>IF(ISERROR(VLOOKUP($U$69,'TAR FIN'!$A$1:$O$85,15,0)),0,VLOOKUP($U$69,'TAR FIN'!$A$1:$O$85,15,0))</f>
        <v>185.74</v>
      </c>
      <c r="Y69" s="6"/>
      <c r="Z69" s="6">
        <f ca="1">('TUSD BE'!$AM$12+'TUSD BF'!$AM$12+'TUSD CVA'!$AM$12)*1</f>
        <v>104.33304759371407</v>
      </c>
      <c r="AA69" s="6">
        <f>('TE BE'!$AB$6+'TE BF'!$AB$6+'TE CVA'!$AB$6)*1</f>
        <v>166.7634981586946</v>
      </c>
      <c r="AB69" s="6">
        <f>$K$69*$V$69</f>
        <v>0</v>
      </c>
      <c r="AC69" s="6">
        <f>$M$69*$W$69</f>
        <v>4029.9125400000003</v>
      </c>
      <c r="AD69" s="6">
        <f>$O$69*$X$69</f>
        <v>10117.81502</v>
      </c>
      <c r="AE69" s="6">
        <f>$K$69*$Y$69</f>
        <v>0</v>
      </c>
      <c r="AF69" s="6">
        <f ca="1">$M$69*$Z$69</f>
        <v>5683.3341015723863</v>
      </c>
      <c r="AG69" s="6">
        <f>$O$69*$AA$69</f>
        <v>9084.1080351985711</v>
      </c>
    </row>
    <row r="70" spans="1:33" ht="11.25" customHeight="1" x14ac:dyDescent="0.3">
      <c r="A70" s="4" t="s">
        <v>21</v>
      </c>
      <c r="B70" s="4" t="s">
        <v>37</v>
      </c>
      <c r="C70" s="4" t="s">
        <v>38</v>
      </c>
      <c r="D70" s="4" t="s">
        <v>36</v>
      </c>
      <c r="E70" s="4" t="s">
        <v>25</v>
      </c>
      <c r="F70" s="4" t="s">
        <v>25</v>
      </c>
      <c r="G70" s="4" t="s">
        <v>25</v>
      </c>
      <c r="H70" s="4" t="s">
        <v>34</v>
      </c>
      <c r="I70" s="5">
        <v>44593</v>
      </c>
      <c r="J70" s="6">
        <v>0</v>
      </c>
      <c r="K70" s="6">
        <v>0</v>
      </c>
      <c r="L70" s="6">
        <v>40.412999999999997</v>
      </c>
      <c r="M70" s="6">
        <v>40.412999999999997</v>
      </c>
      <c r="N70" s="6">
        <v>40.412999999999997</v>
      </c>
      <c r="O70" s="6">
        <v>40.412999999999997</v>
      </c>
      <c r="P70" s="6">
        <v>0</v>
      </c>
      <c r="Q70" s="4" t="s">
        <v>26</v>
      </c>
      <c r="R70" s="4">
        <v>0</v>
      </c>
      <c r="S70" s="6">
        <v>0</v>
      </c>
      <c r="T70" s="6">
        <v>16</v>
      </c>
      <c r="U70" s="6">
        <v>72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73.98</v>
      </c>
      <c r="X70" s="6">
        <f>IF(ISERROR(VLOOKUP($U$70,'TAR FIN'!$A$1:$O$85,15,0)),0,VLOOKUP($U$70,'TAR FIN'!$A$1:$O$85,15,0))</f>
        <v>185.74</v>
      </c>
      <c r="Y70" s="6"/>
      <c r="Z70" s="6">
        <f ca="1">('TUSD BE'!$AM$12+'TUSD BF'!$AM$12+'TUSD CVA'!$AM$12)*1</f>
        <v>104.33304759371407</v>
      </c>
      <c r="AA70" s="6">
        <f>('TE BE'!$AB$6+'TE BF'!$AB$6+'TE CVA'!$AB$6)*1</f>
        <v>166.7634981586946</v>
      </c>
      <c r="AB70" s="6">
        <f>$K$70*$V$70</f>
        <v>0</v>
      </c>
      <c r="AC70" s="6">
        <f>$M$70*$W$70</f>
        <v>2989.7537400000001</v>
      </c>
      <c r="AD70" s="6">
        <f>$O$70*$X$70</f>
        <v>7506.3106200000002</v>
      </c>
      <c r="AE70" s="6">
        <f>$K$70*$Y$70</f>
        <v>0</v>
      </c>
      <c r="AF70" s="6">
        <f ca="1">$M$70*$Z$70</f>
        <v>4216.4114524047664</v>
      </c>
      <c r="AG70" s="6">
        <f>$O$70*$AA$70</f>
        <v>6739.4132510873242</v>
      </c>
    </row>
    <row r="71" spans="1:33" ht="11.25" customHeight="1" x14ac:dyDescent="0.3">
      <c r="A71" s="4" t="s">
        <v>21</v>
      </c>
      <c r="B71" s="4" t="s">
        <v>37</v>
      </c>
      <c r="C71" s="4" t="s">
        <v>38</v>
      </c>
      <c r="D71" s="4" t="s">
        <v>36</v>
      </c>
      <c r="E71" s="4" t="s">
        <v>25</v>
      </c>
      <c r="F71" s="4" t="s">
        <v>25</v>
      </c>
      <c r="G71" s="4" t="s">
        <v>25</v>
      </c>
      <c r="H71" s="4" t="s">
        <v>34</v>
      </c>
      <c r="I71" s="5">
        <v>44621</v>
      </c>
      <c r="J71" s="6">
        <v>0</v>
      </c>
      <c r="K71" s="6">
        <v>0</v>
      </c>
      <c r="L71" s="6">
        <v>46.277000000000001</v>
      </c>
      <c r="M71" s="6">
        <v>46.277000000000001</v>
      </c>
      <c r="N71" s="6">
        <v>46.277000000000001</v>
      </c>
      <c r="O71" s="6">
        <v>46.277000000000001</v>
      </c>
      <c r="P71" s="6">
        <v>0</v>
      </c>
      <c r="Q71" s="4" t="s">
        <v>26</v>
      </c>
      <c r="R71" s="4">
        <v>0</v>
      </c>
      <c r="S71" s="6">
        <v>0</v>
      </c>
      <c r="T71" s="6">
        <v>16</v>
      </c>
      <c r="U71" s="6">
        <v>72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73.98</v>
      </c>
      <c r="X71" s="6">
        <f>IF(ISERROR(VLOOKUP($U$71,'TAR FIN'!$A$1:$O$85,15,0)),0,VLOOKUP($U$71,'TAR FIN'!$A$1:$O$85,15,0))</f>
        <v>185.74</v>
      </c>
      <c r="Y71" s="6"/>
      <c r="Z71" s="6">
        <f ca="1">('TUSD BE'!$AM$12+'TUSD BF'!$AM$12+'TUSD CVA'!$AM$12)*1</f>
        <v>104.33304759371407</v>
      </c>
      <c r="AA71" s="6">
        <f>('TE BE'!$AB$6+'TE BF'!$AB$6+'TE CVA'!$AB$6)*1</f>
        <v>166.7634981586946</v>
      </c>
      <c r="AB71" s="6">
        <f>$K$71*$V$71</f>
        <v>0</v>
      </c>
      <c r="AC71" s="6">
        <f>$M$71*$W$71</f>
        <v>3423.5724600000003</v>
      </c>
      <c r="AD71" s="6">
        <f>$O$71*$X$71</f>
        <v>8595.4899800000003</v>
      </c>
      <c r="AE71" s="6">
        <f>$K$71*$Y$71</f>
        <v>0</v>
      </c>
      <c r="AF71" s="6">
        <f ca="1">$M$71*$Z$71</f>
        <v>4828.220443494306</v>
      </c>
      <c r="AG71" s="6">
        <f>$O$71*$AA$71</f>
        <v>7717.3144042899103</v>
      </c>
    </row>
    <row r="72" spans="1:33" ht="11.25" customHeight="1" x14ac:dyDescent="0.3">
      <c r="A72" s="4" t="s">
        <v>21</v>
      </c>
      <c r="B72" s="4" t="s">
        <v>37</v>
      </c>
      <c r="C72" s="4" t="s">
        <v>38</v>
      </c>
      <c r="D72" s="4" t="s">
        <v>36</v>
      </c>
      <c r="E72" s="4" t="s">
        <v>25</v>
      </c>
      <c r="F72" s="4" t="s">
        <v>25</v>
      </c>
      <c r="G72" s="4" t="s">
        <v>25</v>
      </c>
      <c r="H72" s="4" t="s">
        <v>34</v>
      </c>
      <c r="I72" s="5">
        <v>44652</v>
      </c>
      <c r="J72" s="6">
        <v>0</v>
      </c>
      <c r="K72" s="6">
        <v>0</v>
      </c>
      <c r="L72" s="6">
        <v>39.561</v>
      </c>
      <c r="M72" s="6">
        <v>39.561</v>
      </c>
      <c r="N72" s="6">
        <v>39.561</v>
      </c>
      <c r="O72" s="6">
        <v>39.561</v>
      </c>
      <c r="P72" s="6">
        <v>0</v>
      </c>
      <c r="Q72" s="4" t="s">
        <v>26</v>
      </c>
      <c r="R72" s="4">
        <v>0</v>
      </c>
      <c r="S72" s="6">
        <v>0</v>
      </c>
      <c r="T72" s="6">
        <v>16</v>
      </c>
      <c r="U72" s="6">
        <v>72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73.98</v>
      </c>
      <c r="X72" s="6">
        <f>IF(ISERROR(VLOOKUP($U$72,'TAR FIN'!$A$1:$O$85,15,0)),0,VLOOKUP($U$72,'TAR FIN'!$A$1:$O$85,15,0))</f>
        <v>185.74</v>
      </c>
      <c r="Y72" s="6"/>
      <c r="Z72" s="6">
        <f ca="1">('TUSD BE'!$AM$12+'TUSD BF'!$AM$12+'TUSD CVA'!$AM$12)*1</f>
        <v>104.33304759371407</v>
      </c>
      <c r="AA72" s="6">
        <f>('TE BE'!$AB$6+'TE BF'!$AB$6+'TE CVA'!$AB$6)*1</f>
        <v>166.7634981586946</v>
      </c>
      <c r="AB72" s="6">
        <f>$K$72*$V$72</f>
        <v>0</v>
      </c>
      <c r="AC72" s="6">
        <f>$M$72*$W$72</f>
        <v>2926.7227800000001</v>
      </c>
      <c r="AD72" s="6">
        <f>$O$72*$X$72</f>
        <v>7348.0601400000005</v>
      </c>
      <c r="AE72" s="6">
        <f>$K$72*$Y$72</f>
        <v>0</v>
      </c>
      <c r="AF72" s="6">
        <f ca="1">$M$72*$Z$72</f>
        <v>4127.5196958549222</v>
      </c>
      <c r="AG72" s="6">
        <f>$O$72*$AA$72</f>
        <v>6597.3307506561168</v>
      </c>
    </row>
    <row r="73" spans="1:33" ht="11.25" customHeight="1" x14ac:dyDescent="0.3">
      <c r="A73" s="4" t="s">
        <v>21</v>
      </c>
      <c r="B73" s="4" t="s">
        <v>37</v>
      </c>
      <c r="C73" s="4" t="s">
        <v>38</v>
      </c>
      <c r="D73" s="4" t="s">
        <v>36</v>
      </c>
      <c r="E73" s="4" t="s">
        <v>25</v>
      </c>
      <c r="F73" s="4" t="s">
        <v>25</v>
      </c>
      <c r="G73" s="4" t="s">
        <v>25</v>
      </c>
      <c r="H73" s="4" t="s">
        <v>34</v>
      </c>
      <c r="I73" s="5">
        <v>44682</v>
      </c>
      <c r="J73" s="6">
        <v>0</v>
      </c>
      <c r="K73" s="6">
        <v>0</v>
      </c>
      <c r="L73" s="6">
        <v>50.875999999999998</v>
      </c>
      <c r="M73" s="6">
        <v>50.875999999999998</v>
      </c>
      <c r="N73" s="6">
        <v>50.875999999999998</v>
      </c>
      <c r="O73" s="6">
        <v>50.875999999999998</v>
      </c>
      <c r="P73" s="6">
        <v>0</v>
      </c>
      <c r="Q73" s="4" t="s">
        <v>26</v>
      </c>
      <c r="R73" s="4">
        <v>0</v>
      </c>
      <c r="S73" s="6">
        <v>0</v>
      </c>
      <c r="T73" s="6">
        <v>16</v>
      </c>
      <c r="U73" s="6">
        <v>72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73.98</v>
      </c>
      <c r="X73" s="6">
        <f>IF(ISERROR(VLOOKUP($U$73,'TAR FIN'!$A$1:$O$85,15,0)),0,VLOOKUP($U$73,'TAR FIN'!$A$1:$O$85,15,0))</f>
        <v>185.74</v>
      </c>
      <c r="Y73" s="6"/>
      <c r="Z73" s="6">
        <f ca="1">('TUSD BE'!$AM$12+'TUSD BF'!$AM$12+'TUSD CVA'!$AM$12)*1</f>
        <v>104.33304759371407</v>
      </c>
      <c r="AA73" s="6">
        <f>('TE BE'!$AB$6+'TE BF'!$AB$6+'TE CVA'!$AB$6)*1</f>
        <v>166.7634981586946</v>
      </c>
      <c r="AB73" s="6">
        <f>$K$73*$V$73</f>
        <v>0</v>
      </c>
      <c r="AC73" s="6">
        <f>$M$73*$W$73</f>
        <v>3763.8064800000002</v>
      </c>
      <c r="AD73" s="6">
        <f>$O$73*$X$73</f>
        <v>9449.7082399999999</v>
      </c>
      <c r="AE73" s="6">
        <f>$K$73*$Y$73</f>
        <v>0</v>
      </c>
      <c r="AF73" s="6">
        <f ca="1">$M$73*$Z$73</f>
        <v>5308.0481293777966</v>
      </c>
      <c r="AG73" s="6">
        <f>$O$73*$AA$73</f>
        <v>8484.2597323217469</v>
      </c>
    </row>
    <row r="74" spans="1:33" ht="11.25" customHeight="1" x14ac:dyDescent="0.3">
      <c r="A74" s="4" t="s">
        <v>21</v>
      </c>
      <c r="B74" s="4" t="s">
        <v>37</v>
      </c>
      <c r="C74" s="4" t="s">
        <v>38</v>
      </c>
      <c r="D74" s="4" t="s">
        <v>36</v>
      </c>
      <c r="E74" s="4" t="s">
        <v>25</v>
      </c>
      <c r="F74" s="4" t="s">
        <v>25</v>
      </c>
      <c r="G74" s="4" t="s">
        <v>25</v>
      </c>
      <c r="H74" s="4" t="s">
        <v>34</v>
      </c>
      <c r="I74" s="5">
        <v>44713</v>
      </c>
      <c r="J74" s="6">
        <v>0</v>
      </c>
      <c r="K74" s="6">
        <v>0</v>
      </c>
      <c r="L74" s="6">
        <v>29.097000000000001</v>
      </c>
      <c r="M74" s="6">
        <v>29.097000000000001</v>
      </c>
      <c r="N74" s="6">
        <v>29.097000000000001</v>
      </c>
      <c r="O74" s="6">
        <v>29.097000000000001</v>
      </c>
      <c r="P74" s="6">
        <v>0</v>
      </c>
      <c r="Q74" s="4" t="s">
        <v>26</v>
      </c>
      <c r="R74" s="4">
        <v>0</v>
      </c>
      <c r="S74" s="6">
        <v>0</v>
      </c>
      <c r="T74" s="6">
        <v>16</v>
      </c>
      <c r="U74" s="6">
        <v>72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73.98</v>
      </c>
      <c r="X74" s="6">
        <f>IF(ISERROR(VLOOKUP($U$74,'TAR FIN'!$A$1:$O$85,15,0)),0,VLOOKUP($U$74,'TAR FIN'!$A$1:$O$85,15,0))</f>
        <v>185.74</v>
      </c>
      <c r="Y74" s="6"/>
      <c r="Z74" s="6">
        <f ca="1">('TUSD BE'!$AM$12+'TUSD BF'!$AM$12+'TUSD CVA'!$AM$12)*1</f>
        <v>104.33304759371407</v>
      </c>
      <c r="AA74" s="6">
        <f>('TE BE'!$AB$6+'TE BF'!$AB$6+'TE CVA'!$AB$6)*1</f>
        <v>166.7634981586946</v>
      </c>
      <c r="AB74" s="6">
        <f>$K$74*$V$74</f>
        <v>0</v>
      </c>
      <c r="AC74" s="6">
        <f>$M$74*$W$74</f>
        <v>2152.5960600000003</v>
      </c>
      <c r="AD74" s="6">
        <f>$O$74*$X$74</f>
        <v>5404.4767800000009</v>
      </c>
      <c r="AE74" s="6">
        <f>$K$74*$Y$74</f>
        <v>0</v>
      </c>
      <c r="AF74" s="6">
        <f ca="1">$M$74*$Z$74</f>
        <v>3035.7786858342984</v>
      </c>
      <c r="AG74" s="6">
        <f>$O$74*$AA$74</f>
        <v>4852.3175059235373</v>
      </c>
    </row>
    <row r="75" spans="1:33" ht="11.25" customHeight="1" x14ac:dyDescent="0.3">
      <c r="A75" s="4" t="s">
        <v>21</v>
      </c>
      <c r="B75" s="4" t="s">
        <v>37</v>
      </c>
      <c r="C75" s="4" t="s">
        <v>38</v>
      </c>
      <c r="D75" s="4" t="s">
        <v>36</v>
      </c>
      <c r="E75" s="4" t="s">
        <v>25</v>
      </c>
      <c r="F75" s="4" t="s">
        <v>25</v>
      </c>
      <c r="G75" s="4" t="s">
        <v>25</v>
      </c>
      <c r="H75" s="4" t="s">
        <v>34</v>
      </c>
      <c r="I75" s="5">
        <v>44743</v>
      </c>
      <c r="J75" s="6">
        <v>0</v>
      </c>
      <c r="K75" s="6">
        <v>0</v>
      </c>
      <c r="L75" s="6">
        <v>42.253999999999998</v>
      </c>
      <c r="M75" s="6">
        <v>42.253999999999998</v>
      </c>
      <c r="N75" s="6">
        <v>42.253999999999998</v>
      </c>
      <c r="O75" s="6">
        <v>42.253999999999998</v>
      </c>
      <c r="P75" s="6">
        <v>0</v>
      </c>
      <c r="Q75" s="4" t="s">
        <v>26</v>
      </c>
      <c r="R75" s="4">
        <v>0</v>
      </c>
      <c r="S75" s="6">
        <v>0</v>
      </c>
      <c r="T75" s="6">
        <v>16</v>
      </c>
      <c r="U75" s="6">
        <v>72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73.98</v>
      </c>
      <c r="X75" s="6">
        <f>IF(ISERROR(VLOOKUP($U$75,'TAR FIN'!$A$1:$O$85,15,0)),0,VLOOKUP($U$75,'TAR FIN'!$A$1:$O$85,15,0))</f>
        <v>185.74</v>
      </c>
      <c r="Y75" s="6"/>
      <c r="Z75" s="6">
        <f ca="1">('TUSD BE'!$AM$12+'TUSD BF'!$AM$12+'TUSD CVA'!$AM$12)*1</f>
        <v>104.33304759371407</v>
      </c>
      <c r="AA75" s="6">
        <f>('TE BE'!$AB$6+'TE BF'!$AB$6+'TE CVA'!$AB$6)*1</f>
        <v>166.7634981586946</v>
      </c>
      <c r="AB75" s="6">
        <f>$K$75*$V$75</f>
        <v>0</v>
      </c>
      <c r="AC75" s="6">
        <f>$M$75*$W$75</f>
        <v>3125.9509200000002</v>
      </c>
      <c r="AD75" s="6">
        <f>$O$75*$X$75</f>
        <v>7848.2579599999999</v>
      </c>
      <c r="AE75" s="6">
        <f>$K$75*$Y$75</f>
        <v>0</v>
      </c>
      <c r="AF75" s="6">
        <f ca="1">$M$75*$Z$75</f>
        <v>4408.4885930247938</v>
      </c>
      <c r="AG75" s="6">
        <f>$O$75*$AA$75</f>
        <v>7046.4248511974811</v>
      </c>
    </row>
    <row r="76" spans="1:33" ht="11.25" customHeight="1" x14ac:dyDescent="0.3">
      <c r="A76" s="4" t="s">
        <v>21</v>
      </c>
      <c r="B76" s="4" t="s">
        <v>37</v>
      </c>
      <c r="C76" s="4" t="s">
        <v>38</v>
      </c>
      <c r="D76" s="4" t="s">
        <v>36</v>
      </c>
      <c r="E76" s="4" t="s">
        <v>25</v>
      </c>
      <c r="F76" s="4" t="s">
        <v>25</v>
      </c>
      <c r="G76" s="4" t="s">
        <v>25</v>
      </c>
      <c r="H76" s="4" t="s">
        <v>34</v>
      </c>
      <c r="I76" s="5">
        <v>44774</v>
      </c>
      <c r="J76" s="6">
        <v>0</v>
      </c>
      <c r="K76" s="6">
        <v>0</v>
      </c>
      <c r="L76" s="6">
        <v>47.945</v>
      </c>
      <c r="M76" s="6">
        <v>47.945</v>
      </c>
      <c r="N76" s="6">
        <v>47.945</v>
      </c>
      <c r="O76" s="6">
        <v>47.945</v>
      </c>
      <c r="P76" s="6">
        <v>0</v>
      </c>
      <c r="Q76" s="4" t="s">
        <v>26</v>
      </c>
      <c r="R76" s="4">
        <v>0</v>
      </c>
      <c r="S76" s="6">
        <v>0</v>
      </c>
      <c r="T76" s="6">
        <v>16</v>
      </c>
      <c r="U76" s="6">
        <v>72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73.98</v>
      </c>
      <c r="X76" s="6">
        <f>IF(ISERROR(VLOOKUP($U$76,'TAR FIN'!$A$1:$O$85,15,0)),0,VLOOKUP($U$76,'TAR FIN'!$A$1:$O$85,15,0))</f>
        <v>185.74</v>
      </c>
      <c r="Y76" s="6"/>
      <c r="Z76" s="6">
        <f ca="1">('TUSD BE'!$AM$12+'TUSD BF'!$AM$12+'TUSD CVA'!$AM$12)*1</f>
        <v>104.33304759371407</v>
      </c>
      <c r="AA76" s="6">
        <f>('TE BE'!$AB$6+'TE BF'!$AB$6+'TE CVA'!$AB$6)*1</f>
        <v>166.7634981586946</v>
      </c>
      <c r="AB76" s="6">
        <f>$K$76*$V$76</f>
        <v>0</v>
      </c>
      <c r="AC76" s="6">
        <f>$M$76*$W$76</f>
        <v>3546.9711000000002</v>
      </c>
      <c r="AD76" s="6">
        <f>$O$76*$X$76</f>
        <v>8905.3042999999998</v>
      </c>
      <c r="AE76" s="6">
        <f>$K$76*$Y$76</f>
        <v>0</v>
      </c>
      <c r="AF76" s="6">
        <f ca="1">$M$76*$Z$76</f>
        <v>5002.2479668806209</v>
      </c>
      <c r="AG76" s="6">
        <f>$O$76*$AA$76</f>
        <v>7995.4759192186129</v>
      </c>
    </row>
    <row r="77" spans="1:33" ht="11.25" customHeight="1" x14ac:dyDescent="0.3">
      <c r="A77" s="4" t="s">
        <v>21</v>
      </c>
      <c r="B77" s="4" t="s">
        <v>37</v>
      </c>
      <c r="C77" s="4" t="s">
        <v>38</v>
      </c>
      <c r="D77" s="4" t="s">
        <v>36</v>
      </c>
      <c r="E77" s="4" t="s">
        <v>25</v>
      </c>
      <c r="F77" s="4" t="s">
        <v>25</v>
      </c>
      <c r="G77" s="4" t="s">
        <v>25</v>
      </c>
      <c r="H77" s="4" t="s">
        <v>25</v>
      </c>
      <c r="I77" s="5">
        <v>44440</v>
      </c>
      <c r="J77" s="6">
        <v>329</v>
      </c>
      <c r="K77" s="6">
        <v>329</v>
      </c>
      <c r="L77" s="6">
        <v>0</v>
      </c>
      <c r="M77" s="6">
        <v>0</v>
      </c>
      <c r="N77" s="6">
        <v>0</v>
      </c>
      <c r="O77" s="6">
        <v>0</v>
      </c>
      <c r="P77" s="6">
        <v>5</v>
      </c>
      <c r="Q77" s="4" t="s">
        <v>26</v>
      </c>
      <c r="R77" s="4">
        <v>0</v>
      </c>
      <c r="S77" s="6">
        <v>12</v>
      </c>
      <c r="T77" s="6">
        <v>0</v>
      </c>
      <c r="U77" s="6">
        <v>0</v>
      </c>
      <c r="V77" s="6">
        <f>IF(ISERROR(VLOOKUP($S$77,'TAR FIN'!$A$1:$O$85,15,0)),0,VLOOKUP($S$77,'TAR FIN'!$A$1:$O$85,15,0))</f>
        <v>29.51</v>
      </c>
      <c r="W77" s="6">
        <f>IF(ISERROR(VLOOKUP($T$77,'TAR FIN'!$A$1:$O$85,15,0)),0,VLOOKUP($T$77,'TAR FIN'!$A$1:$O$85,15,0))</f>
        <v>0</v>
      </c>
      <c r="X77" s="6">
        <f>IF(ISERROR(VLOOKUP($U$77,'TAR FIN'!$A$1:$O$85,15,0)),0,VLOOKUP($U$77,'TAR FIN'!$A$1:$O$85,15,0))</f>
        <v>0</v>
      </c>
      <c r="Y77" s="6">
        <f ca="1">('TUSD BE'!$AM$10+'TUSD BF'!$AM$10+'TUSD CVA'!$AM$10)*1</f>
        <v>32.760867323415219</v>
      </c>
      <c r="Z77" s="6"/>
      <c r="AA77" s="6"/>
      <c r="AB77" s="6">
        <f>$K$77*$V$77</f>
        <v>9708.7900000000009</v>
      </c>
      <c r="AC77" s="6">
        <f>$M$77*$W$77</f>
        <v>0</v>
      </c>
      <c r="AD77" s="6">
        <f>$O$77*$X$77</f>
        <v>0</v>
      </c>
      <c r="AE77" s="6">
        <f ca="1">$K$77*$Y$77</f>
        <v>10778.325349403607</v>
      </c>
      <c r="AF77" s="6">
        <f>$M$77*$Z$77</f>
        <v>0</v>
      </c>
      <c r="AG77" s="6">
        <f>$O$77*$AA$77</f>
        <v>0</v>
      </c>
    </row>
    <row r="78" spans="1:33" ht="11.25" customHeight="1" x14ac:dyDescent="0.3">
      <c r="A78" s="4" t="s">
        <v>21</v>
      </c>
      <c r="B78" s="4" t="s">
        <v>37</v>
      </c>
      <c r="C78" s="4" t="s">
        <v>38</v>
      </c>
      <c r="D78" s="4" t="s">
        <v>36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44470</v>
      </c>
      <c r="J78" s="6">
        <v>320</v>
      </c>
      <c r="K78" s="6">
        <v>320</v>
      </c>
      <c r="L78" s="6">
        <v>0</v>
      </c>
      <c r="M78" s="6">
        <v>0</v>
      </c>
      <c r="N78" s="6">
        <v>0</v>
      </c>
      <c r="O78" s="6">
        <v>0</v>
      </c>
      <c r="P78" s="6">
        <v>5</v>
      </c>
      <c r="Q78" s="4" t="s">
        <v>26</v>
      </c>
      <c r="R78" s="4">
        <v>0</v>
      </c>
      <c r="S78" s="6">
        <v>12</v>
      </c>
      <c r="T78" s="6">
        <v>0</v>
      </c>
      <c r="U78" s="6">
        <v>0</v>
      </c>
      <c r="V78" s="6">
        <f>IF(ISERROR(VLOOKUP($S$78,'TAR FIN'!$A$1:$O$85,15,0)),0,VLOOKUP($S$78,'TAR FIN'!$A$1:$O$85,15,0))</f>
        <v>29.51</v>
      </c>
      <c r="W78" s="6">
        <f>IF(ISERROR(VLOOKUP($T$78,'TAR FIN'!$A$1:$O$85,15,0)),0,VLOOKUP($T$78,'TAR FIN'!$A$1:$O$85,15,0))</f>
        <v>0</v>
      </c>
      <c r="X78" s="6">
        <f>IF(ISERROR(VLOOKUP($U$78,'TAR FIN'!$A$1:$O$85,15,0)),0,VLOOKUP($U$78,'TAR FIN'!$A$1:$O$85,15,0))</f>
        <v>0</v>
      </c>
      <c r="Y78" s="6">
        <f ca="1">('TUSD BE'!$AM$10+'TUSD BF'!$AM$10+'TUSD CVA'!$AM$10)*1</f>
        <v>32.760867323415219</v>
      </c>
      <c r="Z78" s="6"/>
      <c r="AA78" s="6"/>
      <c r="AB78" s="6">
        <f>$K$78*$V$78</f>
        <v>9443.2000000000007</v>
      </c>
      <c r="AC78" s="6">
        <f>$M$78*$W$78</f>
        <v>0</v>
      </c>
      <c r="AD78" s="6">
        <f>$O$78*$X$78</f>
        <v>0</v>
      </c>
      <c r="AE78" s="6">
        <f ca="1">$K$78*$Y$78</f>
        <v>10483.477543492871</v>
      </c>
      <c r="AF78" s="6">
        <f>$M$78*$Z$78</f>
        <v>0</v>
      </c>
      <c r="AG78" s="6">
        <f>$O$78*$AA$78</f>
        <v>0</v>
      </c>
    </row>
    <row r="79" spans="1:33" ht="11.25" customHeight="1" x14ac:dyDescent="0.3">
      <c r="A79" s="4" t="s">
        <v>21</v>
      </c>
      <c r="B79" s="4" t="s">
        <v>37</v>
      </c>
      <c r="C79" s="4" t="s">
        <v>38</v>
      </c>
      <c r="D79" s="4" t="s">
        <v>36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44501</v>
      </c>
      <c r="J79" s="6">
        <v>341</v>
      </c>
      <c r="K79" s="6">
        <v>341</v>
      </c>
      <c r="L79" s="6">
        <v>0</v>
      </c>
      <c r="M79" s="6">
        <v>0</v>
      </c>
      <c r="N79" s="6">
        <v>0</v>
      </c>
      <c r="O79" s="6">
        <v>0</v>
      </c>
      <c r="P79" s="6">
        <v>5</v>
      </c>
      <c r="Q79" s="4" t="s">
        <v>26</v>
      </c>
      <c r="R79" s="4">
        <v>0</v>
      </c>
      <c r="S79" s="6">
        <v>12</v>
      </c>
      <c r="T79" s="6">
        <v>0</v>
      </c>
      <c r="U79" s="6">
        <v>0</v>
      </c>
      <c r="V79" s="6">
        <f>IF(ISERROR(VLOOKUP($S$79,'TAR FIN'!$A$1:$O$85,15,0)),0,VLOOKUP($S$79,'TAR FIN'!$A$1:$O$85,15,0))</f>
        <v>29.51</v>
      </c>
      <c r="W79" s="6">
        <f>IF(ISERROR(VLOOKUP($T$79,'TAR FIN'!$A$1:$O$85,15,0)),0,VLOOKUP($T$79,'TAR FIN'!$A$1:$O$85,15,0))</f>
        <v>0</v>
      </c>
      <c r="X79" s="6">
        <f>IF(ISERROR(VLOOKUP($U$79,'TAR FIN'!$A$1:$O$85,15,0)),0,VLOOKUP($U$79,'TAR FIN'!$A$1:$O$85,15,0))</f>
        <v>0</v>
      </c>
      <c r="Y79" s="6">
        <f ca="1">('TUSD BE'!$AM$10+'TUSD BF'!$AM$10+'TUSD CVA'!$AM$10)*1</f>
        <v>32.760867323415219</v>
      </c>
      <c r="Z79" s="6"/>
      <c r="AA79" s="6"/>
      <c r="AB79" s="6">
        <f>$K$79*$V$79</f>
        <v>10062.91</v>
      </c>
      <c r="AC79" s="6">
        <f>$M$79*$W$79</f>
        <v>0</v>
      </c>
      <c r="AD79" s="6">
        <f>$O$79*$X$79</f>
        <v>0</v>
      </c>
      <c r="AE79" s="6">
        <f ca="1">$K$79*$Y$79</f>
        <v>11171.45575728459</v>
      </c>
      <c r="AF79" s="6">
        <f>$M$79*$Z$79</f>
        <v>0</v>
      </c>
      <c r="AG79" s="6">
        <f>$O$79*$AA$79</f>
        <v>0</v>
      </c>
    </row>
    <row r="80" spans="1:33" ht="11.25" customHeight="1" x14ac:dyDescent="0.3">
      <c r="A80" s="4" t="s">
        <v>21</v>
      </c>
      <c r="B80" s="4" t="s">
        <v>37</v>
      </c>
      <c r="C80" s="4" t="s">
        <v>38</v>
      </c>
      <c r="D80" s="4" t="s">
        <v>36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44531</v>
      </c>
      <c r="J80" s="6">
        <v>337</v>
      </c>
      <c r="K80" s="6">
        <v>337</v>
      </c>
      <c r="L80" s="6">
        <v>0</v>
      </c>
      <c r="M80" s="6">
        <v>0</v>
      </c>
      <c r="N80" s="6">
        <v>0</v>
      </c>
      <c r="O80" s="6">
        <v>0</v>
      </c>
      <c r="P80" s="6">
        <v>5</v>
      </c>
      <c r="Q80" s="4" t="s">
        <v>26</v>
      </c>
      <c r="R80" s="4">
        <v>0</v>
      </c>
      <c r="S80" s="6">
        <v>12</v>
      </c>
      <c r="T80" s="6">
        <v>0</v>
      </c>
      <c r="U80" s="6">
        <v>0</v>
      </c>
      <c r="V80" s="6">
        <f>IF(ISERROR(VLOOKUP($S$80,'TAR FIN'!$A$1:$O$85,15,0)),0,VLOOKUP($S$80,'TAR FIN'!$A$1:$O$85,15,0))</f>
        <v>29.51</v>
      </c>
      <c r="W80" s="6">
        <f>IF(ISERROR(VLOOKUP($T$80,'TAR FIN'!$A$1:$O$85,15,0)),0,VLOOKUP($T$80,'TAR FIN'!$A$1:$O$85,15,0))</f>
        <v>0</v>
      </c>
      <c r="X80" s="6">
        <f>IF(ISERROR(VLOOKUP($U$80,'TAR FIN'!$A$1:$O$85,15,0)),0,VLOOKUP($U$80,'TAR FIN'!$A$1:$O$85,15,0))</f>
        <v>0</v>
      </c>
      <c r="Y80" s="6">
        <f ca="1">('TUSD BE'!$AM$10+'TUSD BF'!$AM$10+'TUSD CVA'!$AM$10)*1</f>
        <v>32.760867323415219</v>
      </c>
      <c r="Z80" s="6"/>
      <c r="AA80" s="6"/>
      <c r="AB80" s="6">
        <f>$K$80*$V$80</f>
        <v>9944.8700000000008</v>
      </c>
      <c r="AC80" s="6">
        <f>$M$80*$W$80</f>
        <v>0</v>
      </c>
      <c r="AD80" s="6">
        <f>$O$80*$X$80</f>
        <v>0</v>
      </c>
      <c r="AE80" s="6">
        <f ca="1">$K$80*$Y$80</f>
        <v>11040.412287990928</v>
      </c>
      <c r="AF80" s="6">
        <f>$M$80*$Z$80</f>
        <v>0</v>
      </c>
      <c r="AG80" s="6">
        <f>$O$80*$AA$80</f>
        <v>0</v>
      </c>
    </row>
    <row r="81" spans="1:33" ht="11.25" customHeight="1" x14ac:dyDescent="0.3">
      <c r="A81" s="4" t="s">
        <v>21</v>
      </c>
      <c r="B81" s="4" t="s">
        <v>37</v>
      </c>
      <c r="C81" s="4" t="s">
        <v>38</v>
      </c>
      <c r="D81" s="4" t="s">
        <v>36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44562</v>
      </c>
      <c r="J81" s="6">
        <v>349</v>
      </c>
      <c r="K81" s="6">
        <v>349</v>
      </c>
      <c r="L81" s="6">
        <v>0</v>
      </c>
      <c r="M81" s="6">
        <v>0</v>
      </c>
      <c r="N81" s="6">
        <v>0</v>
      </c>
      <c r="O81" s="6">
        <v>0</v>
      </c>
      <c r="P81" s="6">
        <v>5</v>
      </c>
      <c r="Q81" s="4" t="s">
        <v>26</v>
      </c>
      <c r="R81" s="4">
        <v>0</v>
      </c>
      <c r="S81" s="6">
        <v>12</v>
      </c>
      <c r="T81" s="6">
        <v>0</v>
      </c>
      <c r="U81" s="6">
        <v>0</v>
      </c>
      <c r="V81" s="6">
        <f>IF(ISERROR(VLOOKUP($S$81,'TAR FIN'!$A$1:$O$85,15,0)),0,VLOOKUP($S$81,'TAR FIN'!$A$1:$O$85,15,0))</f>
        <v>29.51</v>
      </c>
      <c r="W81" s="6">
        <f>IF(ISERROR(VLOOKUP($T$81,'TAR FIN'!$A$1:$O$85,15,0)),0,VLOOKUP($T$81,'TAR FIN'!$A$1:$O$85,15,0))</f>
        <v>0</v>
      </c>
      <c r="X81" s="6">
        <f>IF(ISERROR(VLOOKUP($U$81,'TAR FIN'!$A$1:$O$85,15,0)),0,VLOOKUP($U$81,'TAR FIN'!$A$1:$O$85,15,0))</f>
        <v>0</v>
      </c>
      <c r="Y81" s="6">
        <f ca="1">('TUSD BE'!$AM$10+'TUSD BF'!$AM$10+'TUSD CVA'!$AM$10)*1</f>
        <v>32.760867323415219</v>
      </c>
      <c r="Z81" s="6"/>
      <c r="AA81" s="6"/>
      <c r="AB81" s="6">
        <f>$K$81*$V$81</f>
        <v>10298.99</v>
      </c>
      <c r="AC81" s="6">
        <f>$M$81*$W$81</f>
        <v>0</v>
      </c>
      <c r="AD81" s="6">
        <f>$O$81*$X$81</f>
        <v>0</v>
      </c>
      <c r="AE81" s="6">
        <f ca="1">$K$81*$Y$81</f>
        <v>11433.542695871911</v>
      </c>
      <c r="AF81" s="6">
        <f>$M$81*$Z$81</f>
        <v>0</v>
      </c>
      <c r="AG81" s="6">
        <f>$O$81*$AA$81</f>
        <v>0</v>
      </c>
    </row>
    <row r="82" spans="1:33" ht="11.25" customHeight="1" x14ac:dyDescent="0.3">
      <c r="A82" s="4" t="s">
        <v>21</v>
      </c>
      <c r="B82" s="4" t="s">
        <v>37</v>
      </c>
      <c r="C82" s="4" t="s">
        <v>38</v>
      </c>
      <c r="D82" s="4" t="s">
        <v>36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44593</v>
      </c>
      <c r="J82" s="6">
        <v>331</v>
      </c>
      <c r="K82" s="6">
        <v>331</v>
      </c>
      <c r="L82" s="6">
        <v>0</v>
      </c>
      <c r="M82" s="6">
        <v>0</v>
      </c>
      <c r="N82" s="6">
        <v>0</v>
      </c>
      <c r="O82" s="6">
        <v>0</v>
      </c>
      <c r="P82" s="6">
        <v>5</v>
      </c>
      <c r="Q82" s="4" t="s">
        <v>26</v>
      </c>
      <c r="R82" s="4">
        <v>0</v>
      </c>
      <c r="S82" s="6">
        <v>12</v>
      </c>
      <c r="T82" s="6">
        <v>0</v>
      </c>
      <c r="U82" s="6">
        <v>0</v>
      </c>
      <c r="V82" s="6">
        <f>IF(ISERROR(VLOOKUP($S$82,'TAR FIN'!$A$1:$O$85,15,0)),0,VLOOKUP($S$82,'TAR FIN'!$A$1:$O$85,15,0))</f>
        <v>29.51</v>
      </c>
      <c r="W82" s="6">
        <f>IF(ISERROR(VLOOKUP($T$82,'TAR FIN'!$A$1:$O$85,15,0)),0,VLOOKUP($T$82,'TAR FIN'!$A$1:$O$85,15,0))</f>
        <v>0</v>
      </c>
      <c r="X82" s="6">
        <f>IF(ISERROR(VLOOKUP($U$82,'TAR FIN'!$A$1:$O$85,15,0)),0,VLOOKUP($U$82,'TAR FIN'!$A$1:$O$85,15,0))</f>
        <v>0</v>
      </c>
      <c r="Y82" s="6">
        <f ca="1">('TUSD BE'!$AM$10+'TUSD BF'!$AM$10+'TUSD CVA'!$AM$10)*1</f>
        <v>32.760867323415219</v>
      </c>
      <c r="Z82" s="6"/>
      <c r="AA82" s="6"/>
      <c r="AB82" s="6">
        <f>$K$82*$V$82</f>
        <v>9767.8100000000013</v>
      </c>
      <c r="AC82" s="6">
        <f>$M$82*$W$82</f>
        <v>0</v>
      </c>
      <c r="AD82" s="6">
        <f>$O$82*$X$82</f>
        <v>0</v>
      </c>
      <c r="AE82" s="6">
        <f ca="1">$K$82*$Y$82</f>
        <v>10843.847084050438</v>
      </c>
      <c r="AF82" s="6">
        <f>$M$82*$Z$82</f>
        <v>0</v>
      </c>
      <c r="AG82" s="6">
        <f>$O$82*$AA$82</f>
        <v>0</v>
      </c>
    </row>
    <row r="83" spans="1:33" ht="11.25" customHeight="1" x14ac:dyDescent="0.3">
      <c r="A83" s="4" t="s">
        <v>21</v>
      </c>
      <c r="B83" s="4" t="s">
        <v>37</v>
      </c>
      <c r="C83" s="4" t="s">
        <v>38</v>
      </c>
      <c r="D83" s="4" t="s">
        <v>36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44621</v>
      </c>
      <c r="J83" s="6">
        <v>339</v>
      </c>
      <c r="K83" s="6">
        <v>339</v>
      </c>
      <c r="L83" s="6">
        <v>0</v>
      </c>
      <c r="M83" s="6">
        <v>0</v>
      </c>
      <c r="N83" s="6">
        <v>0</v>
      </c>
      <c r="O83" s="6">
        <v>0</v>
      </c>
      <c r="P83" s="6">
        <v>5</v>
      </c>
      <c r="Q83" s="4" t="s">
        <v>26</v>
      </c>
      <c r="R83" s="4">
        <v>0</v>
      </c>
      <c r="S83" s="6">
        <v>12</v>
      </c>
      <c r="T83" s="6">
        <v>0</v>
      </c>
      <c r="U83" s="6">
        <v>0</v>
      </c>
      <c r="V83" s="6">
        <f>IF(ISERROR(VLOOKUP($S$83,'TAR FIN'!$A$1:$O$85,15,0)),0,VLOOKUP($S$83,'TAR FIN'!$A$1:$O$85,15,0))</f>
        <v>29.51</v>
      </c>
      <c r="W83" s="6">
        <f>IF(ISERROR(VLOOKUP($T$83,'TAR FIN'!$A$1:$O$85,15,0)),0,VLOOKUP($T$83,'TAR FIN'!$A$1:$O$85,15,0))</f>
        <v>0</v>
      </c>
      <c r="X83" s="6">
        <f>IF(ISERROR(VLOOKUP($U$83,'TAR FIN'!$A$1:$O$85,15,0)),0,VLOOKUP($U$83,'TAR FIN'!$A$1:$O$85,15,0))</f>
        <v>0</v>
      </c>
      <c r="Y83" s="6">
        <f ca="1">('TUSD BE'!$AM$10+'TUSD BF'!$AM$10+'TUSD CVA'!$AM$10)*1</f>
        <v>32.760867323415219</v>
      </c>
      <c r="Z83" s="6"/>
      <c r="AA83" s="6"/>
      <c r="AB83" s="6">
        <f>$K$83*$V$83</f>
        <v>10003.890000000001</v>
      </c>
      <c r="AC83" s="6">
        <f>$M$83*$W$83</f>
        <v>0</v>
      </c>
      <c r="AD83" s="6">
        <f>$O$83*$X$83</f>
        <v>0</v>
      </c>
      <c r="AE83" s="6">
        <f ca="1">$K$83*$Y$83</f>
        <v>11105.934022637759</v>
      </c>
      <c r="AF83" s="6">
        <f>$M$83*$Z$83</f>
        <v>0</v>
      </c>
      <c r="AG83" s="6">
        <f>$O$83*$AA$83</f>
        <v>0</v>
      </c>
    </row>
    <row r="84" spans="1:33" ht="11.25" customHeight="1" x14ac:dyDescent="0.3">
      <c r="A84" s="4" t="s">
        <v>21</v>
      </c>
      <c r="B84" s="4" t="s">
        <v>37</v>
      </c>
      <c r="C84" s="4" t="s">
        <v>38</v>
      </c>
      <c r="D84" s="4" t="s">
        <v>36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44652</v>
      </c>
      <c r="J84" s="6">
        <v>337</v>
      </c>
      <c r="K84" s="6">
        <v>337</v>
      </c>
      <c r="L84" s="6">
        <v>0</v>
      </c>
      <c r="M84" s="6">
        <v>0</v>
      </c>
      <c r="N84" s="6">
        <v>0</v>
      </c>
      <c r="O84" s="6">
        <v>0</v>
      </c>
      <c r="P84" s="6">
        <v>5</v>
      </c>
      <c r="Q84" s="4" t="s">
        <v>26</v>
      </c>
      <c r="R84" s="4">
        <v>0</v>
      </c>
      <c r="S84" s="6">
        <v>12</v>
      </c>
      <c r="T84" s="6">
        <v>0</v>
      </c>
      <c r="U84" s="6">
        <v>0</v>
      </c>
      <c r="V84" s="6">
        <f>IF(ISERROR(VLOOKUP($S$84,'TAR FIN'!$A$1:$O$85,15,0)),0,VLOOKUP($S$84,'TAR FIN'!$A$1:$O$85,15,0))</f>
        <v>29.51</v>
      </c>
      <c r="W84" s="6">
        <f>IF(ISERROR(VLOOKUP($T$84,'TAR FIN'!$A$1:$O$85,15,0)),0,VLOOKUP($T$84,'TAR FIN'!$A$1:$O$85,15,0))</f>
        <v>0</v>
      </c>
      <c r="X84" s="6">
        <f>IF(ISERROR(VLOOKUP($U$84,'TAR FIN'!$A$1:$O$85,15,0)),0,VLOOKUP($U$84,'TAR FIN'!$A$1:$O$85,15,0))</f>
        <v>0</v>
      </c>
      <c r="Y84" s="6">
        <f ca="1">('TUSD BE'!$AM$10+'TUSD BF'!$AM$10+'TUSD CVA'!$AM$10)*1</f>
        <v>32.760867323415219</v>
      </c>
      <c r="Z84" s="6"/>
      <c r="AA84" s="6"/>
      <c r="AB84" s="6">
        <f>$K$84*$V$84</f>
        <v>9944.8700000000008</v>
      </c>
      <c r="AC84" s="6">
        <f>$M$84*$W$84</f>
        <v>0</v>
      </c>
      <c r="AD84" s="6">
        <f>$O$84*$X$84</f>
        <v>0</v>
      </c>
      <c r="AE84" s="6">
        <f ca="1">$K$84*$Y$84</f>
        <v>11040.412287990928</v>
      </c>
      <c r="AF84" s="6">
        <f>$M$84*$Z$84</f>
        <v>0</v>
      </c>
      <c r="AG84" s="6">
        <f>$O$84*$AA$84</f>
        <v>0</v>
      </c>
    </row>
    <row r="85" spans="1:33" ht="11.25" customHeight="1" x14ac:dyDescent="0.3">
      <c r="A85" s="4" t="s">
        <v>21</v>
      </c>
      <c r="B85" s="4" t="s">
        <v>37</v>
      </c>
      <c r="C85" s="4" t="s">
        <v>38</v>
      </c>
      <c r="D85" s="4" t="s">
        <v>36</v>
      </c>
      <c r="E85" s="4" t="s">
        <v>25</v>
      </c>
      <c r="F85" s="4" t="s">
        <v>25</v>
      </c>
      <c r="G85" s="4" t="s">
        <v>25</v>
      </c>
      <c r="H85" s="4" t="s">
        <v>25</v>
      </c>
      <c r="I85" s="5">
        <v>44682</v>
      </c>
      <c r="J85" s="6">
        <v>343</v>
      </c>
      <c r="K85" s="6">
        <v>343</v>
      </c>
      <c r="L85" s="6">
        <v>0</v>
      </c>
      <c r="M85" s="6">
        <v>0</v>
      </c>
      <c r="N85" s="6">
        <v>0</v>
      </c>
      <c r="O85" s="6">
        <v>0</v>
      </c>
      <c r="P85" s="6">
        <v>5</v>
      </c>
      <c r="Q85" s="4" t="s">
        <v>26</v>
      </c>
      <c r="R85" s="4">
        <v>0</v>
      </c>
      <c r="S85" s="6">
        <v>12</v>
      </c>
      <c r="T85" s="6">
        <v>0</v>
      </c>
      <c r="U85" s="6">
        <v>0</v>
      </c>
      <c r="V85" s="6">
        <f>IF(ISERROR(VLOOKUP($S$85,'TAR FIN'!$A$1:$O$85,15,0)),0,VLOOKUP($S$85,'TAR FIN'!$A$1:$O$85,15,0))</f>
        <v>29.51</v>
      </c>
      <c r="W85" s="6">
        <f>IF(ISERROR(VLOOKUP($T$85,'TAR FIN'!$A$1:$O$85,15,0)),0,VLOOKUP($T$85,'TAR FIN'!$A$1:$O$85,15,0))</f>
        <v>0</v>
      </c>
      <c r="X85" s="6">
        <f>IF(ISERROR(VLOOKUP($U$85,'TAR FIN'!$A$1:$O$85,15,0)),0,VLOOKUP($U$85,'TAR FIN'!$A$1:$O$85,15,0))</f>
        <v>0</v>
      </c>
      <c r="Y85" s="6">
        <f ca="1">('TUSD BE'!$AM$10+'TUSD BF'!$AM$10+'TUSD CVA'!$AM$10)*1</f>
        <v>32.760867323415219</v>
      </c>
      <c r="Z85" s="6"/>
      <c r="AA85" s="6"/>
      <c r="AB85" s="6">
        <f>$K$85*$V$85</f>
        <v>10121.93</v>
      </c>
      <c r="AC85" s="6">
        <f>$M$85*$W$85</f>
        <v>0</v>
      </c>
      <c r="AD85" s="6">
        <f>$O$85*$X$85</f>
        <v>0</v>
      </c>
      <c r="AE85" s="6">
        <f ca="1">$K$85*$Y$85</f>
        <v>11236.97749193142</v>
      </c>
      <c r="AF85" s="6">
        <f>$M$85*$Z$85</f>
        <v>0</v>
      </c>
      <c r="AG85" s="6">
        <f>$O$85*$AA$85</f>
        <v>0</v>
      </c>
    </row>
    <row r="86" spans="1:33" ht="11.25" customHeight="1" x14ac:dyDescent="0.3">
      <c r="A86" s="4" t="s">
        <v>21</v>
      </c>
      <c r="B86" s="4" t="s">
        <v>37</v>
      </c>
      <c r="C86" s="4" t="s">
        <v>38</v>
      </c>
      <c r="D86" s="4" t="s">
        <v>36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44713</v>
      </c>
      <c r="J86" s="6">
        <v>316</v>
      </c>
      <c r="K86" s="6">
        <v>316</v>
      </c>
      <c r="L86" s="6">
        <v>0</v>
      </c>
      <c r="M86" s="6">
        <v>0</v>
      </c>
      <c r="N86" s="6">
        <v>0</v>
      </c>
      <c r="O86" s="6">
        <v>0</v>
      </c>
      <c r="P86" s="6">
        <v>5</v>
      </c>
      <c r="Q86" s="4" t="s">
        <v>26</v>
      </c>
      <c r="R86" s="4">
        <v>0</v>
      </c>
      <c r="S86" s="6">
        <v>12</v>
      </c>
      <c r="T86" s="6">
        <v>0</v>
      </c>
      <c r="U86" s="6">
        <v>0</v>
      </c>
      <c r="V86" s="6">
        <f>IF(ISERROR(VLOOKUP($S$86,'TAR FIN'!$A$1:$O$85,15,0)),0,VLOOKUP($S$86,'TAR FIN'!$A$1:$O$85,15,0))</f>
        <v>29.51</v>
      </c>
      <c r="W86" s="6">
        <f>IF(ISERROR(VLOOKUP($T$86,'TAR FIN'!$A$1:$O$85,15,0)),0,VLOOKUP($T$86,'TAR FIN'!$A$1:$O$85,15,0))</f>
        <v>0</v>
      </c>
      <c r="X86" s="6">
        <f>IF(ISERROR(VLOOKUP($U$86,'TAR FIN'!$A$1:$O$85,15,0)),0,VLOOKUP($U$86,'TAR FIN'!$A$1:$O$85,15,0))</f>
        <v>0</v>
      </c>
      <c r="Y86" s="6">
        <f ca="1">('TUSD BE'!$AM$10+'TUSD BF'!$AM$10+'TUSD CVA'!$AM$10)*1</f>
        <v>32.760867323415219</v>
      </c>
      <c r="Z86" s="6"/>
      <c r="AA86" s="6"/>
      <c r="AB86" s="6">
        <f>$K$86*$V$86</f>
        <v>9325.16</v>
      </c>
      <c r="AC86" s="6">
        <f>$M$86*$W$86</f>
        <v>0</v>
      </c>
      <c r="AD86" s="6">
        <f>$O$86*$X$86</f>
        <v>0</v>
      </c>
      <c r="AE86" s="6">
        <f ca="1">$K$86*$Y$86</f>
        <v>10352.434074199209</v>
      </c>
      <c r="AF86" s="6">
        <f>$M$86*$Z$86</f>
        <v>0</v>
      </c>
      <c r="AG86" s="6">
        <f>$O$86*$AA$86</f>
        <v>0</v>
      </c>
    </row>
    <row r="87" spans="1:33" ht="11.25" customHeight="1" x14ac:dyDescent="0.3">
      <c r="A87" s="4" t="s">
        <v>21</v>
      </c>
      <c r="B87" s="4" t="s">
        <v>37</v>
      </c>
      <c r="C87" s="4" t="s">
        <v>38</v>
      </c>
      <c r="D87" s="4" t="s">
        <v>36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44743</v>
      </c>
      <c r="J87" s="6">
        <v>319</v>
      </c>
      <c r="K87" s="6">
        <v>319</v>
      </c>
      <c r="L87" s="6">
        <v>0</v>
      </c>
      <c r="M87" s="6">
        <v>0</v>
      </c>
      <c r="N87" s="6">
        <v>0</v>
      </c>
      <c r="O87" s="6">
        <v>0</v>
      </c>
      <c r="P87" s="6">
        <v>5</v>
      </c>
      <c r="Q87" s="4" t="s">
        <v>26</v>
      </c>
      <c r="R87" s="4">
        <v>0</v>
      </c>
      <c r="S87" s="6">
        <v>12</v>
      </c>
      <c r="T87" s="6">
        <v>0</v>
      </c>
      <c r="U87" s="6">
        <v>0</v>
      </c>
      <c r="V87" s="6">
        <f>IF(ISERROR(VLOOKUP($S$87,'TAR FIN'!$A$1:$O$85,15,0)),0,VLOOKUP($S$87,'TAR FIN'!$A$1:$O$85,15,0))</f>
        <v>29.51</v>
      </c>
      <c r="W87" s="6">
        <f>IF(ISERROR(VLOOKUP($T$87,'TAR FIN'!$A$1:$O$85,15,0)),0,VLOOKUP($T$87,'TAR FIN'!$A$1:$O$85,15,0))</f>
        <v>0</v>
      </c>
      <c r="X87" s="6">
        <f>IF(ISERROR(VLOOKUP($U$87,'TAR FIN'!$A$1:$O$85,15,0)),0,VLOOKUP($U$87,'TAR FIN'!$A$1:$O$85,15,0))</f>
        <v>0</v>
      </c>
      <c r="Y87" s="6">
        <f ca="1">('TUSD BE'!$AM$10+'TUSD BF'!$AM$10+'TUSD CVA'!$AM$10)*1</f>
        <v>32.760867323415219</v>
      </c>
      <c r="Z87" s="6"/>
      <c r="AA87" s="6"/>
      <c r="AB87" s="6">
        <f>$K$87*$V$87</f>
        <v>9413.69</v>
      </c>
      <c r="AC87" s="6">
        <f>$M$87*$W$87</f>
        <v>0</v>
      </c>
      <c r="AD87" s="6">
        <f>$O$87*$X$87</f>
        <v>0</v>
      </c>
      <c r="AE87" s="6">
        <f ca="1">$K$87*$Y$87</f>
        <v>10450.716676169455</v>
      </c>
      <c r="AF87" s="6">
        <f>$M$87*$Z$87</f>
        <v>0</v>
      </c>
      <c r="AG87" s="6">
        <f>$O$87*$AA$87</f>
        <v>0</v>
      </c>
    </row>
    <row r="88" spans="1:33" ht="11.25" customHeight="1" x14ac:dyDescent="0.3">
      <c r="A88" s="4" t="s">
        <v>21</v>
      </c>
      <c r="B88" s="4" t="s">
        <v>37</v>
      </c>
      <c r="C88" s="4" t="s">
        <v>38</v>
      </c>
      <c r="D88" s="4" t="s">
        <v>36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44774</v>
      </c>
      <c r="J88" s="6">
        <v>305</v>
      </c>
      <c r="K88" s="6">
        <v>305</v>
      </c>
      <c r="L88" s="6">
        <v>0</v>
      </c>
      <c r="M88" s="6">
        <v>0</v>
      </c>
      <c r="N88" s="6">
        <v>0</v>
      </c>
      <c r="O88" s="6">
        <v>0</v>
      </c>
      <c r="P88" s="6">
        <v>5</v>
      </c>
      <c r="Q88" s="4" t="s">
        <v>26</v>
      </c>
      <c r="R88" s="4">
        <v>0</v>
      </c>
      <c r="S88" s="6">
        <v>12</v>
      </c>
      <c r="T88" s="6">
        <v>0</v>
      </c>
      <c r="U88" s="6">
        <v>0</v>
      </c>
      <c r="V88" s="6">
        <f>IF(ISERROR(VLOOKUP($S$88,'TAR FIN'!$A$1:$O$85,15,0)),0,VLOOKUP($S$88,'TAR FIN'!$A$1:$O$85,15,0))</f>
        <v>29.51</v>
      </c>
      <c r="W88" s="6">
        <f>IF(ISERROR(VLOOKUP($T$88,'TAR FIN'!$A$1:$O$85,15,0)),0,VLOOKUP($T$88,'TAR FIN'!$A$1:$O$85,15,0))</f>
        <v>0</v>
      </c>
      <c r="X88" s="6">
        <f>IF(ISERROR(VLOOKUP($U$88,'TAR FIN'!$A$1:$O$85,15,0)),0,VLOOKUP($U$88,'TAR FIN'!$A$1:$O$85,15,0))</f>
        <v>0</v>
      </c>
      <c r="Y88" s="6">
        <f ca="1">('TUSD BE'!$AM$10+'TUSD BF'!$AM$10+'TUSD CVA'!$AM$10)*1</f>
        <v>32.760867323415219</v>
      </c>
      <c r="Z88" s="6"/>
      <c r="AA88" s="6"/>
      <c r="AB88" s="6">
        <f>$K$88*$V$88</f>
        <v>9000.5500000000011</v>
      </c>
      <c r="AC88" s="6">
        <f>$M$88*$W$88</f>
        <v>0</v>
      </c>
      <c r="AD88" s="6">
        <f>$O$88*$X$88</f>
        <v>0</v>
      </c>
      <c r="AE88" s="6">
        <f ca="1">$K$88*$Y$88</f>
        <v>9992.0645336416419</v>
      </c>
      <c r="AF88" s="6">
        <f>$M$88*$Z$88</f>
        <v>0</v>
      </c>
      <c r="AG88" s="6">
        <f>$O$88*$AA$88</f>
        <v>0</v>
      </c>
    </row>
    <row r="89" spans="1:33" ht="11.25" customHeight="1" x14ac:dyDescent="0.3">
      <c r="A89" s="4" t="s">
        <v>21</v>
      </c>
      <c r="B89" s="4" t="s">
        <v>37</v>
      </c>
      <c r="C89" s="4" t="s">
        <v>38</v>
      </c>
      <c r="D89" s="4" t="s">
        <v>36</v>
      </c>
      <c r="E89" s="4" t="s">
        <v>25</v>
      </c>
      <c r="F89" s="4" t="s">
        <v>25</v>
      </c>
      <c r="G89" s="4" t="s">
        <v>25</v>
      </c>
      <c r="H89" s="4" t="s">
        <v>39</v>
      </c>
      <c r="I89" s="5">
        <v>44440</v>
      </c>
      <c r="J89" s="6">
        <v>0</v>
      </c>
      <c r="K89" s="6">
        <v>0</v>
      </c>
      <c r="L89" s="6">
        <v>2.9660000000000002</v>
      </c>
      <c r="M89" s="6">
        <v>2.9660000000000002</v>
      </c>
      <c r="N89" s="6">
        <v>2.9660000000000002</v>
      </c>
      <c r="O89" s="6">
        <v>2.9660000000000002</v>
      </c>
      <c r="P89" s="6">
        <v>0</v>
      </c>
      <c r="Q89" s="4" t="s">
        <v>26</v>
      </c>
      <c r="R89" s="4">
        <v>0</v>
      </c>
      <c r="S89" s="6">
        <v>0</v>
      </c>
      <c r="T89" s="6">
        <v>14</v>
      </c>
      <c r="U89" s="6">
        <v>71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2224.88</v>
      </c>
      <c r="X89" s="6">
        <f>IF(ISERROR(VLOOKUP($U$89,'TAR FIN'!$A$1:$O$85,15,0)),0,VLOOKUP($U$89,'TAR FIN'!$A$1:$O$85,15,0))</f>
        <v>185.74</v>
      </c>
      <c r="Y89" s="6"/>
      <c r="Z89" s="6">
        <f ca="1">('TUSD BE'!$AM$11+'TUSD BF'!$AM$11+'TUSD CVA'!$AM$11)*1</f>
        <v>2505.6628291143998</v>
      </c>
      <c r="AA89" s="6">
        <f>('TE BE'!$AB$5+'TE BF'!$AB$5+'TE CVA'!$AB$5)*1</f>
        <v>166.7634981586946</v>
      </c>
      <c r="AB89" s="6">
        <f>$K$89*$V$89</f>
        <v>0</v>
      </c>
      <c r="AC89" s="6">
        <f>$M$89*$W$89</f>
        <v>6598.9940800000004</v>
      </c>
      <c r="AD89" s="6">
        <f>$O$89*$X$89</f>
        <v>550.90484000000004</v>
      </c>
      <c r="AE89" s="6">
        <f>$K$89*$Y$89</f>
        <v>0</v>
      </c>
      <c r="AF89" s="6">
        <f ca="1">$M$89*$Z$89</f>
        <v>7431.7959511533099</v>
      </c>
      <c r="AG89" s="6">
        <f>$O$89*$AA$89</f>
        <v>494.62053553868822</v>
      </c>
    </row>
    <row r="90" spans="1:33" ht="11.25" customHeight="1" x14ac:dyDescent="0.3">
      <c r="A90" s="4" t="s">
        <v>21</v>
      </c>
      <c r="B90" s="4" t="s">
        <v>37</v>
      </c>
      <c r="C90" s="4" t="s">
        <v>38</v>
      </c>
      <c r="D90" s="4" t="s">
        <v>36</v>
      </c>
      <c r="E90" s="4" t="s">
        <v>25</v>
      </c>
      <c r="F90" s="4" t="s">
        <v>25</v>
      </c>
      <c r="G90" s="4" t="s">
        <v>25</v>
      </c>
      <c r="H90" s="4" t="s">
        <v>39</v>
      </c>
      <c r="I90" s="5">
        <v>44470</v>
      </c>
      <c r="J90" s="6">
        <v>0</v>
      </c>
      <c r="K90" s="6">
        <v>0</v>
      </c>
      <c r="L90" s="6">
        <v>1.655</v>
      </c>
      <c r="M90" s="6">
        <v>1.655</v>
      </c>
      <c r="N90" s="6">
        <v>1.655</v>
      </c>
      <c r="O90" s="6">
        <v>1.655</v>
      </c>
      <c r="P90" s="6">
        <v>0</v>
      </c>
      <c r="Q90" s="4" t="s">
        <v>26</v>
      </c>
      <c r="R90" s="4">
        <v>0</v>
      </c>
      <c r="S90" s="6">
        <v>0</v>
      </c>
      <c r="T90" s="6">
        <v>14</v>
      </c>
      <c r="U90" s="6">
        <v>71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2224.88</v>
      </c>
      <c r="X90" s="6">
        <f>IF(ISERROR(VLOOKUP($U$90,'TAR FIN'!$A$1:$O$85,15,0)),0,VLOOKUP($U$90,'TAR FIN'!$A$1:$O$85,15,0))</f>
        <v>185.74</v>
      </c>
      <c r="Y90" s="6"/>
      <c r="Z90" s="6">
        <f ca="1">('TUSD BE'!$AM$11+'TUSD BF'!$AM$11+'TUSD CVA'!$AM$11)*1</f>
        <v>2505.6628291143998</v>
      </c>
      <c r="AA90" s="6">
        <f>('TE BE'!$AB$5+'TE BF'!$AB$5+'TE CVA'!$AB$5)*1</f>
        <v>166.7634981586946</v>
      </c>
      <c r="AB90" s="6">
        <f>$K$90*$V$90</f>
        <v>0</v>
      </c>
      <c r="AC90" s="6">
        <f>$M$90*$W$90</f>
        <v>3682.1764000000003</v>
      </c>
      <c r="AD90" s="6">
        <f>$O$90*$X$90</f>
        <v>307.3997</v>
      </c>
      <c r="AE90" s="6">
        <f>$K$90*$Y$90</f>
        <v>0</v>
      </c>
      <c r="AF90" s="6">
        <f ca="1">$M$90*$Z$90</f>
        <v>4146.8719821843315</v>
      </c>
      <c r="AG90" s="6">
        <f>$O$90*$AA$90</f>
        <v>275.99358945263958</v>
      </c>
    </row>
    <row r="91" spans="1:33" ht="11.25" customHeight="1" x14ac:dyDescent="0.3">
      <c r="A91" s="4" t="s">
        <v>21</v>
      </c>
      <c r="B91" s="4" t="s">
        <v>37</v>
      </c>
      <c r="C91" s="4" t="s">
        <v>38</v>
      </c>
      <c r="D91" s="4" t="s">
        <v>36</v>
      </c>
      <c r="E91" s="4" t="s">
        <v>25</v>
      </c>
      <c r="F91" s="4" t="s">
        <v>25</v>
      </c>
      <c r="G91" s="4" t="s">
        <v>25</v>
      </c>
      <c r="H91" s="4" t="s">
        <v>39</v>
      </c>
      <c r="I91" s="5">
        <v>44501</v>
      </c>
      <c r="J91" s="6">
        <v>0</v>
      </c>
      <c r="K91" s="6">
        <v>0</v>
      </c>
      <c r="L91" s="6">
        <v>2.52</v>
      </c>
      <c r="M91" s="6">
        <v>2.52</v>
      </c>
      <c r="N91" s="6">
        <v>2.52</v>
      </c>
      <c r="O91" s="6">
        <v>2.52</v>
      </c>
      <c r="P91" s="6">
        <v>0</v>
      </c>
      <c r="Q91" s="4" t="s">
        <v>26</v>
      </c>
      <c r="R91" s="4">
        <v>0</v>
      </c>
      <c r="S91" s="6">
        <v>0</v>
      </c>
      <c r="T91" s="6">
        <v>14</v>
      </c>
      <c r="U91" s="6">
        <v>71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2224.88</v>
      </c>
      <c r="X91" s="6">
        <f>IF(ISERROR(VLOOKUP($U$91,'TAR FIN'!$A$1:$O$85,15,0)),0,VLOOKUP($U$91,'TAR FIN'!$A$1:$O$85,15,0))</f>
        <v>185.74</v>
      </c>
      <c r="Y91" s="6"/>
      <c r="Z91" s="6">
        <f ca="1">('TUSD BE'!$AM$11+'TUSD BF'!$AM$11+'TUSD CVA'!$AM$11)*1</f>
        <v>2505.6628291143998</v>
      </c>
      <c r="AA91" s="6">
        <f>('TE BE'!$AB$5+'TE BF'!$AB$5+'TE CVA'!$AB$5)*1</f>
        <v>166.7634981586946</v>
      </c>
      <c r="AB91" s="6">
        <f>$K$91*$V$91</f>
        <v>0</v>
      </c>
      <c r="AC91" s="6">
        <f>$M$91*$W$91</f>
        <v>5606.6976000000004</v>
      </c>
      <c r="AD91" s="6">
        <f>$O$91*$X$91</f>
        <v>468.06480000000005</v>
      </c>
      <c r="AE91" s="6">
        <f>$K$91*$Y$91</f>
        <v>0</v>
      </c>
      <c r="AF91" s="6">
        <f ca="1">$M$91*$Z$91</f>
        <v>6314.2703293682871</v>
      </c>
      <c r="AG91" s="6">
        <f>$O$91*$AA$91</f>
        <v>420.24401535991041</v>
      </c>
    </row>
    <row r="92" spans="1:33" ht="11.25" customHeight="1" x14ac:dyDescent="0.3">
      <c r="A92" s="4" t="s">
        <v>21</v>
      </c>
      <c r="B92" s="4" t="s">
        <v>37</v>
      </c>
      <c r="C92" s="4" t="s">
        <v>38</v>
      </c>
      <c r="D92" s="4" t="s">
        <v>36</v>
      </c>
      <c r="E92" s="4" t="s">
        <v>25</v>
      </c>
      <c r="F92" s="4" t="s">
        <v>25</v>
      </c>
      <c r="G92" s="4" t="s">
        <v>25</v>
      </c>
      <c r="H92" s="4" t="s">
        <v>39</v>
      </c>
      <c r="I92" s="5">
        <v>44531</v>
      </c>
      <c r="J92" s="6">
        <v>0</v>
      </c>
      <c r="K92" s="6">
        <v>0</v>
      </c>
      <c r="L92" s="6">
        <v>1.0369999999999999</v>
      </c>
      <c r="M92" s="6">
        <v>1.0369999999999999</v>
      </c>
      <c r="N92" s="6">
        <v>1.0369999999999999</v>
      </c>
      <c r="O92" s="6">
        <v>1.0369999999999999</v>
      </c>
      <c r="P92" s="6">
        <v>0</v>
      </c>
      <c r="Q92" s="4" t="s">
        <v>26</v>
      </c>
      <c r="R92" s="4">
        <v>0</v>
      </c>
      <c r="S92" s="6">
        <v>0</v>
      </c>
      <c r="T92" s="6">
        <v>14</v>
      </c>
      <c r="U92" s="6">
        <v>71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2224.88</v>
      </c>
      <c r="X92" s="6">
        <f>IF(ISERROR(VLOOKUP($U$92,'TAR FIN'!$A$1:$O$85,15,0)),0,VLOOKUP($U$92,'TAR FIN'!$A$1:$O$85,15,0))</f>
        <v>185.74</v>
      </c>
      <c r="Y92" s="6"/>
      <c r="Z92" s="6">
        <f ca="1">('TUSD BE'!$AM$11+'TUSD BF'!$AM$11+'TUSD CVA'!$AM$11)*1</f>
        <v>2505.6628291143998</v>
      </c>
      <c r="AA92" s="6">
        <f>('TE BE'!$AB$5+'TE BF'!$AB$5+'TE CVA'!$AB$5)*1</f>
        <v>166.7634981586946</v>
      </c>
      <c r="AB92" s="6">
        <f>$K$92*$V$92</f>
        <v>0</v>
      </c>
      <c r="AC92" s="6">
        <f>$M$92*$W$92</f>
        <v>2307.2005599999998</v>
      </c>
      <c r="AD92" s="6">
        <f>$O$92*$X$92</f>
        <v>192.61238</v>
      </c>
      <c r="AE92" s="6">
        <f>$K$92*$Y$92</f>
        <v>0</v>
      </c>
      <c r="AF92" s="6">
        <f ca="1">$M$92*$Z$92</f>
        <v>2598.3723537916326</v>
      </c>
      <c r="AG92" s="6">
        <f>$O$92*$AA$92</f>
        <v>172.9337475905663</v>
      </c>
    </row>
    <row r="93" spans="1:33" ht="11.25" customHeight="1" x14ac:dyDescent="0.3">
      <c r="A93" s="4" t="s">
        <v>21</v>
      </c>
      <c r="B93" s="4" t="s">
        <v>37</v>
      </c>
      <c r="C93" s="4" t="s">
        <v>38</v>
      </c>
      <c r="D93" s="4" t="s">
        <v>36</v>
      </c>
      <c r="E93" s="4" t="s">
        <v>25</v>
      </c>
      <c r="F93" s="4" t="s">
        <v>25</v>
      </c>
      <c r="G93" s="4" t="s">
        <v>25</v>
      </c>
      <c r="H93" s="4" t="s">
        <v>39</v>
      </c>
      <c r="I93" s="5">
        <v>44562</v>
      </c>
      <c r="J93" s="6">
        <v>0</v>
      </c>
      <c r="K93" s="6">
        <v>0</v>
      </c>
      <c r="L93" s="6">
        <v>1.9650000000000001</v>
      </c>
      <c r="M93" s="6">
        <v>1.9650000000000001</v>
      </c>
      <c r="N93" s="6">
        <v>1.9650000000000001</v>
      </c>
      <c r="O93" s="6">
        <v>1.9650000000000001</v>
      </c>
      <c r="P93" s="6">
        <v>0</v>
      </c>
      <c r="Q93" s="4" t="s">
        <v>26</v>
      </c>
      <c r="R93" s="4">
        <v>0</v>
      </c>
      <c r="S93" s="6">
        <v>0</v>
      </c>
      <c r="T93" s="6">
        <v>14</v>
      </c>
      <c r="U93" s="6">
        <v>71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2224.88</v>
      </c>
      <c r="X93" s="6">
        <f>IF(ISERROR(VLOOKUP($U$93,'TAR FIN'!$A$1:$O$85,15,0)),0,VLOOKUP($U$93,'TAR FIN'!$A$1:$O$85,15,0))</f>
        <v>185.74</v>
      </c>
      <c r="Y93" s="6"/>
      <c r="Z93" s="6">
        <f ca="1">('TUSD BE'!$AM$11+'TUSD BF'!$AM$11+'TUSD CVA'!$AM$11)*1</f>
        <v>2505.6628291143998</v>
      </c>
      <c r="AA93" s="6">
        <f>('TE BE'!$AB$5+'TE BF'!$AB$5+'TE CVA'!$AB$5)*1</f>
        <v>166.7634981586946</v>
      </c>
      <c r="AB93" s="6">
        <f>$K$93*$V$93</f>
        <v>0</v>
      </c>
      <c r="AC93" s="6">
        <f>$M$93*$W$93</f>
        <v>4371.8892000000005</v>
      </c>
      <c r="AD93" s="6">
        <f>$O$93*$X$93</f>
        <v>364.97910000000002</v>
      </c>
      <c r="AE93" s="6">
        <f>$K$93*$Y$93</f>
        <v>0</v>
      </c>
      <c r="AF93" s="6">
        <f ca="1">$M$93*$Z$93</f>
        <v>4923.6274592097961</v>
      </c>
      <c r="AG93" s="6">
        <f>$O$93*$AA$93</f>
        <v>327.69027388183491</v>
      </c>
    </row>
    <row r="94" spans="1:33" ht="11.25" customHeight="1" x14ac:dyDescent="0.3">
      <c r="A94" s="4" t="s">
        <v>21</v>
      </c>
      <c r="B94" s="4" t="s">
        <v>37</v>
      </c>
      <c r="C94" s="4" t="s">
        <v>38</v>
      </c>
      <c r="D94" s="4" t="s">
        <v>36</v>
      </c>
      <c r="E94" s="4" t="s">
        <v>25</v>
      </c>
      <c r="F94" s="4" t="s">
        <v>25</v>
      </c>
      <c r="G94" s="4" t="s">
        <v>25</v>
      </c>
      <c r="H94" s="4" t="s">
        <v>39</v>
      </c>
      <c r="I94" s="5">
        <v>44593</v>
      </c>
      <c r="J94" s="6">
        <v>0</v>
      </c>
      <c r="K94" s="6">
        <v>0</v>
      </c>
      <c r="L94" s="6">
        <v>0.86</v>
      </c>
      <c r="M94" s="6">
        <v>0.86</v>
      </c>
      <c r="N94" s="6">
        <v>0.86</v>
      </c>
      <c r="O94" s="6">
        <v>0.86</v>
      </c>
      <c r="P94" s="6">
        <v>0</v>
      </c>
      <c r="Q94" s="4" t="s">
        <v>26</v>
      </c>
      <c r="R94" s="4">
        <v>0</v>
      </c>
      <c r="S94" s="6">
        <v>0</v>
      </c>
      <c r="T94" s="6">
        <v>14</v>
      </c>
      <c r="U94" s="6">
        <v>71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2224.88</v>
      </c>
      <c r="X94" s="6">
        <f>IF(ISERROR(VLOOKUP($U$94,'TAR FIN'!$A$1:$O$85,15,0)),0,VLOOKUP($U$94,'TAR FIN'!$A$1:$O$85,15,0))</f>
        <v>185.74</v>
      </c>
      <c r="Y94" s="6"/>
      <c r="Z94" s="6">
        <f ca="1">('TUSD BE'!$AM$11+'TUSD BF'!$AM$11+'TUSD CVA'!$AM$11)*1</f>
        <v>2505.6628291143998</v>
      </c>
      <c r="AA94" s="6">
        <f>('TE BE'!$AB$5+'TE BF'!$AB$5+'TE CVA'!$AB$5)*1</f>
        <v>166.7634981586946</v>
      </c>
      <c r="AB94" s="6">
        <f>$K$94*$V$94</f>
        <v>0</v>
      </c>
      <c r="AC94" s="6">
        <f>$M$94*$W$94</f>
        <v>1913.3968</v>
      </c>
      <c r="AD94" s="6">
        <f>$O$94*$X$94</f>
        <v>159.7364</v>
      </c>
      <c r="AE94" s="6">
        <f>$K$94*$Y$94</f>
        <v>0</v>
      </c>
      <c r="AF94" s="6">
        <f ca="1">$M$94*$Z$94</f>
        <v>2154.8700330383836</v>
      </c>
      <c r="AG94" s="6">
        <f>$O$94*$AA$94</f>
        <v>143.41660841647735</v>
      </c>
    </row>
    <row r="95" spans="1:33" ht="11.25" customHeight="1" x14ac:dyDescent="0.3">
      <c r="A95" s="4" t="s">
        <v>21</v>
      </c>
      <c r="B95" s="4" t="s">
        <v>37</v>
      </c>
      <c r="C95" s="4" t="s">
        <v>38</v>
      </c>
      <c r="D95" s="4" t="s">
        <v>36</v>
      </c>
      <c r="E95" s="4" t="s">
        <v>25</v>
      </c>
      <c r="F95" s="4" t="s">
        <v>25</v>
      </c>
      <c r="G95" s="4" t="s">
        <v>25</v>
      </c>
      <c r="H95" s="4" t="s">
        <v>39</v>
      </c>
      <c r="I95" s="5">
        <v>44621</v>
      </c>
      <c r="J95" s="6">
        <v>0</v>
      </c>
      <c r="K95" s="6">
        <v>0</v>
      </c>
      <c r="L95" s="6">
        <v>1.3620000000000001</v>
      </c>
      <c r="M95" s="6">
        <v>1.3620000000000001</v>
      </c>
      <c r="N95" s="6">
        <v>1.3620000000000001</v>
      </c>
      <c r="O95" s="6">
        <v>1.3620000000000001</v>
      </c>
      <c r="P95" s="6">
        <v>0</v>
      </c>
      <c r="Q95" s="4" t="s">
        <v>26</v>
      </c>
      <c r="R95" s="4">
        <v>0</v>
      </c>
      <c r="S95" s="6">
        <v>0</v>
      </c>
      <c r="T95" s="6">
        <v>14</v>
      </c>
      <c r="U95" s="6">
        <v>71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2224.88</v>
      </c>
      <c r="X95" s="6">
        <f>IF(ISERROR(VLOOKUP($U$95,'TAR FIN'!$A$1:$O$85,15,0)),0,VLOOKUP($U$95,'TAR FIN'!$A$1:$O$85,15,0))</f>
        <v>185.74</v>
      </c>
      <c r="Y95" s="6"/>
      <c r="Z95" s="6">
        <f ca="1">('TUSD BE'!$AM$11+'TUSD BF'!$AM$11+'TUSD CVA'!$AM$11)*1</f>
        <v>2505.6628291143998</v>
      </c>
      <c r="AA95" s="6">
        <f>('TE BE'!$AB$5+'TE BF'!$AB$5+'TE CVA'!$AB$5)*1</f>
        <v>166.7634981586946</v>
      </c>
      <c r="AB95" s="6">
        <f>$K$95*$V$95</f>
        <v>0</v>
      </c>
      <c r="AC95" s="6">
        <f>$M$95*$W$95</f>
        <v>3030.2865600000005</v>
      </c>
      <c r="AD95" s="6">
        <f>$O$95*$X$95</f>
        <v>252.97788000000003</v>
      </c>
      <c r="AE95" s="6">
        <f>$K$95*$Y$95</f>
        <v>0</v>
      </c>
      <c r="AF95" s="6">
        <f ca="1">$M$95*$Z$95</f>
        <v>3412.7127732538129</v>
      </c>
      <c r="AG95" s="6">
        <f>$O$95*$AA$95</f>
        <v>227.13188449214206</v>
      </c>
    </row>
    <row r="96" spans="1:33" ht="11.25" customHeight="1" x14ac:dyDescent="0.3">
      <c r="A96" s="4" t="s">
        <v>21</v>
      </c>
      <c r="B96" s="4" t="s">
        <v>37</v>
      </c>
      <c r="C96" s="4" t="s">
        <v>38</v>
      </c>
      <c r="D96" s="4" t="s">
        <v>36</v>
      </c>
      <c r="E96" s="4" t="s">
        <v>25</v>
      </c>
      <c r="F96" s="4" t="s">
        <v>25</v>
      </c>
      <c r="G96" s="4" t="s">
        <v>25</v>
      </c>
      <c r="H96" s="4" t="s">
        <v>39</v>
      </c>
      <c r="I96" s="5">
        <v>44652</v>
      </c>
      <c r="J96" s="6">
        <v>0</v>
      </c>
      <c r="K96" s="6">
        <v>0</v>
      </c>
      <c r="L96" s="6">
        <v>0.72299999999999998</v>
      </c>
      <c r="M96" s="6">
        <v>0.72299999999999998</v>
      </c>
      <c r="N96" s="6">
        <v>0.72299999999999998</v>
      </c>
      <c r="O96" s="6">
        <v>0.72299999999999998</v>
      </c>
      <c r="P96" s="6">
        <v>0</v>
      </c>
      <c r="Q96" s="4" t="s">
        <v>26</v>
      </c>
      <c r="R96" s="4">
        <v>0</v>
      </c>
      <c r="S96" s="6">
        <v>0</v>
      </c>
      <c r="T96" s="6">
        <v>14</v>
      </c>
      <c r="U96" s="6">
        <v>71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2224.88</v>
      </c>
      <c r="X96" s="6">
        <f>IF(ISERROR(VLOOKUP($U$96,'TAR FIN'!$A$1:$O$85,15,0)),0,VLOOKUP($U$96,'TAR FIN'!$A$1:$O$85,15,0))</f>
        <v>185.74</v>
      </c>
      <c r="Y96" s="6"/>
      <c r="Z96" s="6">
        <f ca="1">('TUSD BE'!$AM$11+'TUSD BF'!$AM$11+'TUSD CVA'!$AM$11)*1</f>
        <v>2505.6628291143998</v>
      </c>
      <c r="AA96" s="6">
        <f>('TE BE'!$AB$5+'TE BF'!$AB$5+'TE CVA'!$AB$5)*1</f>
        <v>166.7634981586946</v>
      </c>
      <c r="AB96" s="6">
        <f>$K$96*$V$96</f>
        <v>0</v>
      </c>
      <c r="AC96" s="6">
        <f>$M$96*$W$96</f>
        <v>1608.58824</v>
      </c>
      <c r="AD96" s="6">
        <f>$O$96*$X$96</f>
        <v>134.29002</v>
      </c>
      <c r="AE96" s="6">
        <f>$K$96*$Y$96</f>
        <v>0</v>
      </c>
      <c r="AF96" s="6">
        <f ca="1">$M$96*$Z$96</f>
        <v>1811.5942254497111</v>
      </c>
      <c r="AG96" s="6">
        <f>$O$96*$AA$96</f>
        <v>120.57000916873619</v>
      </c>
    </row>
    <row r="97" spans="1:33" ht="11.25" customHeight="1" x14ac:dyDescent="0.3">
      <c r="A97" s="4" t="s">
        <v>21</v>
      </c>
      <c r="B97" s="4" t="s">
        <v>37</v>
      </c>
      <c r="C97" s="4" t="s">
        <v>38</v>
      </c>
      <c r="D97" s="4" t="s">
        <v>36</v>
      </c>
      <c r="E97" s="4" t="s">
        <v>25</v>
      </c>
      <c r="F97" s="4" t="s">
        <v>25</v>
      </c>
      <c r="G97" s="4" t="s">
        <v>25</v>
      </c>
      <c r="H97" s="4" t="s">
        <v>39</v>
      </c>
      <c r="I97" s="5">
        <v>44682</v>
      </c>
      <c r="J97" s="6">
        <v>0</v>
      </c>
      <c r="K97" s="6">
        <v>0</v>
      </c>
      <c r="L97" s="6">
        <v>2.0659999999999998</v>
      </c>
      <c r="M97" s="6">
        <v>2.0659999999999998</v>
      </c>
      <c r="N97" s="6">
        <v>2.0659999999999998</v>
      </c>
      <c r="O97" s="6">
        <v>2.0659999999999998</v>
      </c>
      <c r="P97" s="6">
        <v>0</v>
      </c>
      <c r="Q97" s="4" t="s">
        <v>26</v>
      </c>
      <c r="R97" s="4">
        <v>0</v>
      </c>
      <c r="S97" s="6">
        <v>0</v>
      </c>
      <c r="T97" s="6">
        <v>14</v>
      </c>
      <c r="U97" s="6">
        <v>71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2224.88</v>
      </c>
      <c r="X97" s="6">
        <f>IF(ISERROR(VLOOKUP($U$97,'TAR FIN'!$A$1:$O$85,15,0)),0,VLOOKUP($U$97,'TAR FIN'!$A$1:$O$85,15,0))</f>
        <v>185.74</v>
      </c>
      <c r="Y97" s="6"/>
      <c r="Z97" s="6">
        <f ca="1">('TUSD BE'!$AM$11+'TUSD BF'!$AM$11+'TUSD CVA'!$AM$11)*1</f>
        <v>2505.6628291143998</v>
      </c>
      <c r="AA97" s="6">
        <f>('TE BE'!$AB$5+'TE BF'!$AB$5+'TE CVA'!$AB$5)*1</f>
        <v>166.7634981586946</v>
      </c>
      <c r="AB97" s="6">
        <f>$K$97*$V$97</f>
        <v>0</v>
      </c>
      <c r="AC97" s="6">
        <f>$M$97*$W$97</f>
        <v>4596.6020799999997</v>
      </c>
      <c r="AD97" s="6">
        <f>$O$97*$X$97</f>
        <v>383.73883999999998</v>
      </c>
      <c r="AE97" s="6">
        <f>$K$97*$Y$97</f>
        <v>0</v>
      </c>
      <c r="AF97" s="6">
        <f ca="1">$M$97*$Z$97</f>
        <v>5176.6994049503492</v>
      </c>
      <c r="AG97" s="6">
        <f>$O$97*$AA$97</f>
        <v>344.53338719586304</v>
      </c>
    </row>
    <row r="98" spans="1:33" ht="11.25" customHeight="1" x14ac:dyDescent="0.3">
      <c r="A98" s="4" t="s">
        <v>21</v>
      </c>
      <c r="B98" s="4" t="s">
        <v>37</v>
      </c>
      <c r="C98" s="4" t="s">
        <v>38</v>
      </c>
      <c r="D98" s="4" t="s">
        <v>36</v>
      </c>
      <c r="E98" s="4" t="s">
        <v>25</v>
      </c>
      <c r="F98" s="4" t="s">
        <v>25</v>
      </c>
      <c r="G98" s="4" t="s">
        <v>25</v>
      </c>
      <c r="H98" s="4" t="s">
        <v>39</v>
      </c>
      <c r="I98" s="5">
        <v>44713</v>
      </c>
      <c r="J98" s="6">
        <v>0</v>
      </c>
      <c r="K98" s="6">
        <v>0</v>
      </c>
      <c r="L98" s="6">
        <v>0.219</v>
      </c>
      <c r="M98" s="6">
        <v>0.219</v>
      </c>
      <c r="N98" s="6">
        <v>0.219</v>
      </c>
      <c r="O98" s="6">
        <v>0.219</v>
      </c>
      <c r="P98" s="6">
        <v>0</v>
      </c>
      <c r="Q98" s="4" t="s">
        <v>26</v>
      </c>
      <c r="R98" s="4">
        <v>0</v>
      </c>
      <c r="S98" s="6">
        <v>0</v>
      </c>
      <c r="T98" s="6">
        <v>14</v>
      </c>
      <c r="U98" s="6">
        <v>71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2224.88</v>
      </c>
      <c r="X98" s="6">
        <f>IF(ISERROR(VLOOKUP($U$98,'TAR FIN'!$A$1:$O$85,15,0)),0,VLOOKUP($U$98,'TAR FIN'!$A$1:$O$85,15,0))</f>
        <v>185.74</v>
      </c>
      <c r="Y98" s="6"/>
      <c r="Z98" s="6">
        <f ca="1">('TUSD BE'!$AM$11+'TUSD BF'!$AM$11+'TUSD CVA'!$AM$11)*1</f>
        <v>2505.6628291143998</v>
      </c>
      <c r="AA98" s="6">
        <f>('TE BE'!$AB$5+'TE BF'!$AB$5+'TE CVA'!$AB$5)*1</f>
        <v>166.7634981586946</v>
      </c>
      <c r="AB98" s="6">
        <f>$K$98*$V$98</f>
        <v>0</v>
      </c>
      <c r="AC98" s="6">
        <f>$M$98*$W$98</f>
        <v>487.24872000000005</v>
      </c>
      <c r="AD98" s="6">
        <f>$O$98*$X$98</f>
        <v>40.677060000000004</v>
      </c>
      <c r="AE98" s="6">
        <f>$K$98*$Y$98</f>
        <v>0</v>
      </c>
      <c r="AF98" s="6">
        <f ca="1">$M$98*$Z$98</f>
        <v>548.74015957605354</v>
      </c>
      <c r="AG98" s="6">
        <f>$O$98*$AA$98</f>
        <v>36.521206096754121</v>
      </c>
    </row>
    <row r="99" spans="1:33" ht="11.25" customHeight="1" x14ac:dyDescent="0.3">
      <c r="A99" s="4" t="s">
        <v>21</v>
      </c>
      <c r="B99" s="4" t="s">
        <v>37</v>
      </c>
      <c r="C99" s="4" t="s">
        <v>38</v>
      </c>
      <c r="D99" s="4" t="s">
        <v>36</v>
      </c>
      <c r="E99" s="4" t="s">
        <v>25</v>
      </c>
      <c r="F99" s="4" t="s">
        <v>25</v>
      </c>
      <c r="G99" s="4" t="s">
        <v>25</v>
      </c>
      <c r="H99" s="4" t="s">
        <v>39</v>
      </c>
      <c r="I99" s="5">
        <v>44743</v>
      </c>
      <c r="J99" s="6">
        <v>0</v>
      </c>
      <c r="K99" s="6">
        <v>0</v>
      </c>
      <c r="L99" s="6">
        <v>1.641</v>
      </c>
      <c r="M99" s="6">
        <v>1.641</v>
      </c>
      <c r="N99" s="6">
        <v>1.641</v>
      </c>
      <c r="O99" s="6">
        <v>1.641</v>
      </c>
      <c r="P99" s="6">
        <v>0</v>
      </c>
      <c r="Q99" s="4" t="s">
        <v>26</v>
      </c>
      <c r="R99" s="4">
        <v>0</v>
      </c>
      <c r="S99" s="6">
        <v>0</v>
      </c>
      <c r="T99" s="6">
        <v>14</v>
      </c>
      <c r="U99" s="6">
        <v>71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2224.88</v>
      </c>
      <c r="X99" s="6">
        <f>IF(ISERROR(VLOOKUP($U$99,'TAR FIN'!$A$1:$O$85,15,0)),0,VLOOKUP($U$99,'TAR FIN'!$A$1:$O$85,15,0))</f>
        <v>185.74</v>
      </c>
      <c r="Y99" s="6"/>
      <c r="Z99" s="6">
        <f ca="1">('TUSD BE'!$AM$11+'TUSD BF'!$AM$11+'TUSD CVA'!$AM$11)*1</f>
        <v>2505.6628291143998</v>
      </c>
      <c r="AA99" s="6">
        <f>('TE BE'!$AB$5+'TE BF'!$AB$5+'TE CVA'!$AB$5)*1</f>
        <v>166.7634981586946</v>
      </c>
      <c r="AB99" s="6">
        <f>$K$99*$V$99</f>
        <v>0</v>
      </c>
      <c r="AC99" s="6">
        <f>$M$99*$W$99</f>
        <v>3651.02808</v>
      </c>
      <c r="AD99" s="6">
        <f>$O$99*$X$99</f>
        <v>304.79934000000003</v>
      </c>
      <c r="AE99" s="6">
        <f>$K$99*$Y$99</f>
        <v>0</v>
      </c>
      <c r="AF99" s="6">
        <f ca="1">$M$99*$Z$99</f>
        <v>4111.7927025767303</v>
      </c>
      <c r="AG99" s="6">
        <f>$O$99*$AA$99</f>
        <v>273.65890047841782</v>
      </c>
    </row>
    <row r="100" spans="1:33" ht="11.25" customHeight="1" x14ac:dyDescent="0.3">
      <c r="A100" s="4" t="s">
        <v>21</v>
      </c>
      <c r="B100" s="4" t="s">
        <v>37</v>
      </c>
      <c r="C100" s="4" t="s">
        <v>38</v>
      </c>
      <c r="D100" s="4" t="s">
        <v>36</v>
      </c>
      <c r="E100" s="4" t="s">
        <v>25</v>
      </c>
      <c r="F100" s="4" t="s">
        <v>25</v>
      </c>
      <c r="G100" s="4" t="s">
        <v>25</v>
      </c>
      <c r="H100" s="4" t="s">
        <v>39</v>
      </c>
      <c r="I100" s="5">
        <v>44774</v>
      </c>
      <c r="J100" s="6">
        <v>0</v>
      </c>
      <c r="K100" s="6">
        <v>0</v>
      </c>
      <c r="L100" s="6">
        <v>1.976</v>
      </c>
      <c r="M100" s="6">
        <v>1.976</v>
      </c>
      <c r="N100" s="6">
        <v>1.976</v>
      </c>
      <c r="O100" s="6">
        <v>1.976</v>
      </c>
      <c r="P100" s="6">
        <v>0</v>
      </c>
      <c r="Q100" s="4" t="s">
        <v>26</v>
      </c>
      <c r="R100" s="4">
        <v>0</v>
      </c>
      <c r="S100" s="6">
        <v>0</v>
      </c>
      <c r="T100" s="6">
        <v>14</v>
      </c>
      <c r="U100" s="6">
        <v>71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2224.88</v>
      </c>
      <c r="X100" s="6">
        <f>IF(ISERROR(VLOOKUP($U$100,'TAR FIN'!$A$1:$O$85,15,0)),0,VLOOKUP($U$100,'TAR FIN'!$A$1:$O$85,15,0))</f>
        <v>185.74</v>
      </c>
      <c r="Y100" s="6"/>
      <c r="Z100" s="6">
        <f ca="1">('TUSD BE'!$AM$11+'TUSD BF'!$AM$11+'TUSD CVA'!$AM$11)*1</f>
        <v>2505.6628291143998</v>
      </c>
      <c r="AA100" s="6">
        <f>('TE BE'!$AB$5+'TE BF'!$AB$5+'TE CVA'!$AB$5)*1</f>
        <v>166.7634981586946</v>
      </c>
      <c r="AB100" s="6">
        <f>$K$100*$V$100</f>
        <v>0</v>
      </c>
      <c r="AC100" s="6">
        <f>$M$100*$W$100</f>
        <v>4396.3628800000006</v>
      </c>
      <c r="AD100" s="6">
        <f>$O$100*$X$100</f>
        <v>367.02224000000001</v>
      </c>
      <c r="AE100" s="6">
        <f>$K$100*$Y$100</f>
        <v>0</v>
      </c>
      <c r="AF100" s="6">
        <f ca="1">$M$100*$Z$100</f>
        <v>4951.1897503300543</v>
      </c>
      <c r="AG100" s="6">
        <f>$O$100*$AA$100</f>
        <v>329.52467236158054</v>
      </c>
    </row>
    <row r="101" spans="1:33" ht="11.25" customHeight="1" x14ac:dyDescent="0.3">
      <c r="A101" s="4" t="s">
        <v>21</v>
      </c>
      <c r="B101" s="4" t="s">
        <v>22</v>
      </c>
      <c r="C101" s="4" t="s">
        <v>33</v>
      </c>
      <c r="D101" s="4" t="s">
        <v>24</v>
      </c>
      <c r="E101" s="4" t="s">
        <v>24</v>
      </c>
      <c r="F101" s="4" t="s">
        <v>25</v>
      </c>
      <c r="G101" s="4" t="s">
        <v>25</v>
      </c>
      <c r="H101" s="4" t="s">
        <v>34</v>
      </c>
      <c r="I101" s="5">
        <v>44440</v>
      </c>
      <c r="J101" s="6">
        <v>0</v>
      </c>
      <c r="K101" s="6">
        <v>0</v>
      </c>
      <c r="L101" s="6">
        <v>0.15</v>
      </c>
      <c r="M101" s="6">
        <v>0.15</v>
      </c>
      <c r="N101" s="6">
        <v>0.15</v>
      </c>
      <c r="O101" s="6">
        <v>0.15</v>
      </c>
      <c r="P101" s="6">
        <v>0</v>
      </c>
      <c r="Q101" s="4" t="s">
        <v>26</v>
      </c>
      <c r="R101" s="4">
        <v>0</v>
      </c>
      <c r="S101" s="6">
        <v>0</v>
      </c>
      <c r="T101" s="6">
        <v>30</v>
      </c>
      <c r="U101" s="6">
        <v>75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286.89999999999998</v>
      </c>
      <c r="X101" s="6">
        <f>IF(ISERROR(VLOOKUP($U$101,'TAR FIN'!$A$1:$O$85,15,0)),0,VLOOKUP($U$101,'TAR FIN'!$A$1:$O$85,15,0))</f>
        <v>185.74</v>
      </c>
      <c r="Y101" s="6"/>
      <c r="Z101" s="6">
        <f ca="1">('TUSD BE'!$AM$19+'TUSD BF'!$AM$19+'TUSD CVA'!$AM$19)*1</f>
        <v>344.39337075148899</v>
      </c>
      <c r="AA101" s="6">
        <f>('TE BE'!$AB$10+'TE BF'!$AB$10+'TE CVA'!$AB$10)*1</f>
        <v>166.7634981586946</v>
      </c>
      <c r="AB101" s="6">
        <f>$K$101*$V$101</f>
        <v>0</v>
      </c>
      <c r="AC101" s="6">
        <f>$M$101*$W$101</f>
        <v>43.034999999999997</v>
      </c>
      <c r="AD101" s="6">
        <f>$O$101*$X$101</f>
        <v>27.861000000000001</v>
      </c>
      <c r="AE101" s="6">
        <f>$K$101*$Y$101</f>
        <v>0</v>
      </c>
      <c r="AF101" s="6">
        <f ca="1">$M$101*$Z$101</f>
        <v>51.659005612723348</v>
      </c>
      <c r="AG101" s="6">
        <f>$O$101*$AA$101</f>
        <v>25.01452472380419</v>
      </c>
    </row>
    <row r="102" spans="1:33" ht="11.25" customHeight="1" x14ac:dyDescent="0.3">
      <c r="A102" s="4" t="s">
        <v>21</v>
      </c>
      <c r="B102" s="4" t="s">
        <v>22</v>
      </c>
      <c r="C102" s="4" t="s">
        <v>33</v>
      </c>
      <c r="D102" s="4" t="s">
        <v>24</v>
      </c>
      <c r="E102" s="4" t="s">
        <v>24</v>
      </c>
      <c r="F102" s="4" t="s">
        <v>25</v>
      </c>
      <c r="G102" s="4" t="s">
        <v>25</v>
      </c>
      <c r="H102" s="4" t="s">
        <v>34</v>
      </c>
      <c r="I102" s="5">
        <v>44470</v>
      </c>
      <c r="J102" s="6">
        <v>0</v>
      </c>
      <c r="K102" s="6">
        <v>0</v>
      </c>
      <c r="L102" s="6">
        <v>0.76800000000000002</v>
      </c>
      <c r="M102" s="6">
        <v>0.76800000000000002</v>
      </c>
      <c r="N102" s="6">
        <v>0.76800000000000002</v>
      </c>
      <c r="O102" s="6">
        <v>0.76800000000000002</v>
      </c>
      <c r="P102" s="6">
        <v>0</v>
      </c>
      <c r="Q102" s="4" t="s">
        <v>26</v>
      </c>
      <c r="R102" s="4">
        <v>0</v>
      </c>
      <c r="S102" s="6">
        <v>0</v>
      </c>
      <c r="T102" s="6">
        <v>30</v>
      </c>
      <c r="U102" s="6">
        <v>75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286.89999999999998</v>
      </c>
      <c r="X102" s="6">
        <f>IF(ISERROR(VLOOKUP($U$102,'TAR FIN'!$A$1:$O$85,15,0)),0,VLOOKUP($U$102,'TAR FIN'!$A$1:$O$85,15,0))</f>
        <v>185.74</v>
      </c>
      <c r="Y102" s="6"/>
      <c r="Z102" s="6">
        <f ca="1">('TUSD BE'!$AM$19+'TUSD BF'!$AM$19+'TUSD CVA'!$AM$19)*1</f>
        <v>344.39337075148899</v>
      </c>
      <c r="AA102" s="6">
        <f>('TE BE'!$AB$10+'TE BF'!$AB$10+'TE CVA'!$AB$10)*1</f>
        <v>166.7634981586946</v>
      </c>
      <c r="AB102" s="6">
        <f>$K$102*$V$102</f>
        <v>0</v>
      </c>
      <c r="AC102" s="6">
        <f>$M$102*$W$102</f>
        <v>220.33919999999998</v>
      </c>
      <c r="AD102" s="6">
        <f>$O$102*$X$102</f>
        <v>142.64832000000001</v>
      </c>
      <c r="AE102" s="6">
        <f>$K$102*$Y$102</f>
        <v>0</v>
      </c>
      <c r="AF102" s="6">
        <f ca="1">$M$102*$Z$102</f>
        <v>264.49410873714356</v>
      </c>
      <c r="AG102" s="6">
        <f>$O$102*$AA$102</f>
        <v>128.07436658587747</v>
      </c>
    </row>
    <row r="103" spans="1:33" ht="11.25" customHeight="1" x14ac:dyDescent="0.3">
      <c r="A103" s="4" t="s">
        <v>21</v>
      </c>
      <c r="B103" s="4" t="s">
        <v>22</v>
      </c>
      <c r="C103" s="4" t="s">
        <v>33</v>
      </c>
      <c r="D103" s="4" t="s">
        <v>24</v>
      </c>
      <c r="E103" s="4" t="s">
        <v>24</v>
      </c>
      <c r="F103" s="4" t="s">
        <v>25</v>
      </c>
      <c r="G103" s="4" t="s">
        <v>25</v>
      </c>
      <c r="H103" s="4" t="s">
        <v>34</v>
      </c>
      <c r="I103" s="5">
        <v>44501</v>
      </c>
      <c r="J103" s="6">
        <v>0</v>
      </c>
      <c r="K103" s="6">
        <v>0</v>
      </c>
      <c r="L103" s="6">
        <v>0.51400000000000001</v>
      </c>
      <c r="M103" s="6">
        <v>0.51400000000000001</v>
      </c>
      <c r="N103" s="6">
        <v>0.51400000000000001</v>
      </c>
      <c r="O103" s="6">
        <v>0.51400000000000001</v>
      </c>
      <c r="P103" s="6">
        <v>0</v>
      </c>
      <c r="Q103" s="4" t="s">
        <v>26</v>
      </c>
      <c r="R103" s="4">
        <v>0</v>
      </c>
      <c r="S103" s="6">
        <v>0</v>
      </c>
      <c r="T103" s="6">
        <v>30</v>
      </c>
      <c r="U103" s="6">
        <v>75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286.89999999999998</v>
      </c>
      <c r="X103" s="6">
        <f>IF(ISERROR(VLOOKUP($U$103,'TAR FIN'!$A$1:$O$85,15,0)),0,VLOOKUP($U$103,'TAR FIN'!$A$1:$O$85,15,0))</f>
        <v>185.74</v>
      </c>
      <c r="Y103" s="6"/>
      <c r="Z103" s="6">
        <f ca="1">('TUSD BE'!$AM$19+'TUSD BF'!$AM$19+'TUSD CVA'!$AM$19)*1</f>
        <v>344.39337075148899</v>
      </c>
      <c r="AA103" s="6">
        <f>('TE BE'!$AB$10+'TE BF'!$AB$10+'TE CVA'!$AB$10)*1</f>
        <v>166.7634981586946</v>
      </c>
      <c r="AB103" s="6">
        <f>$K$103*$V$103</f>
        <v>0</v>
      </c>
      <c r="AC103" s="6">
        <f>$M$103*$W$103</f>
        <v>147.4666</v>
      </c>
      <c r="AD103" s="6">
        <f>$O$103*$X$103</f>
        <v>95.470360000000014</v>
      </c>
      <c r="AE103" s="6">
        <f>$K$103*$Y$103</f>
        <v>0</v>
      </c>
      <c r="AF103" s="6">
        <f ca="1">$M$103*$Z$103</f>
        <v>177.01819256626536</v>
      </c>
      <c r="AG103" s="6">
        <f>$O$103*$AA$103</f>
        <v>85.716438053569021</v>
      </c>
    </row>
    <row r="104" spans="1:33" ht="11.25" customHeight="1" x14ac:dyDescent="0.3">
      <c r="A104" s="4" t="s">
        <v>21</v>
      </c>
      <c r="B104" s="4" t="s">
        <v>22</v>
      </c>
      <c r="C104" s="4" t="s">
        <v>33</v>
      </c>
      <c r="D104" s="4" t="s">
        <v>24</v>
      </c>
      <c r="E104" s="4" t="s">
        <v>24</v>
      </c>
      <c r="F104" s="4" t="s">
        <v>25</v>
      </c>
      <c r="G104" s="4" t="s">
        <v>25</v>
      </c>
      <c r="H104" s="4" t="s">
        <v>34</v>
      </c>
      <c r="I104" s="5">
        <v>44531</v>
      </c>
      <c r="J104" s="6">
        <v>0</v>
      </c>
      <c r="K104" s="6">
        <v>0</v>
      </c>
      <c r="L104" s="6">
        <v>0.625</v>
      </c>
      <c r="M104" s="6">
        <v>0.625</v>
      </c>
      <c r="N104" s="6">
        <v>0.625</v>
      </c>
      <c r="O104" s="6">
        <v>0.625</v>
      </c>
      <c r="P104" s="6">
        <v>0</v>
      </c>
      <c r="Q104" s="4" t="s">
        <v>26</v>
      </c>
      <c r="R104" s="4">
        <v>0</v>
      </c>
      <c r="S104" s="6">
        <v>0</v>
      </c>
      <c r="T104" s="6">
        <v>30</v>
      </c>
      <c r="U104" s="6">
        <v>75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286.89999999999998</v>
      </c>
      <c r="X104" s="6">
        <f>IF(ISERROR(VLOOKUP($U$104,'TAR FIN'!$A$1:$O$85,15,0)),0,VLOOKUP($U$104,'TAR FIN'!$A$1:$O$85,15,0))</f>
        <v>185.74</v>
      </c>
      <c r="Y104" s="6"/>
      <c r="Z104" s="6">
        <f ca="1">('TUSD BE'!$AM$19+'TUSD BF'!$AM$19+'TUSD CVA'!$AM$19)*1</f>
        <v>344.39337075148899</v>
      </c>
      <c r="AA104" s="6">
        <f>('TE BE'!$AB$10+'TE BF'!$AB$10+'TE CVA'!$AB$10)*1</f>
        <v>166.7634981586946</v>
      </c>
      <c r="AB104" s="6">
        <f>$K$104*$V$104</f>
        <v>0</v>
      </c>
      <c r="AC104" s="6">
        <f>$M$104*$W$104</f>
        <v>179.3125</v>
      </c>
      <c r="AD104" s="6">
        <f>$O$104*$X$104</f>
        <v>116.08750000000001</v>
      </c>
      <c r="AE104" s="6">
        <f>$K$104*$Y$104</f>
        <v>0</v>
      </c>
      <c r="AF104" s="6">
        <f ca="1">$M$104*$Z$104</f>
        <v>215.2458567196806</v>
      </c>
      <c r="AG104" s="6">
        <f>$O$104*$AA$104</f>
        <v>104.22718634918412</v>
      </c>
    </row>
    <row r="105" spans="1:33" ht="11.25" customHeight="1" x14ac:dyDescent="0.3">
      <c r="A105" s="4" t="s">
        <v>21</v>
      </c>
      <c r="B105" s="4" t="s">
        <v>22</v>
      </c>
      <c r="C105" s="4" t="s">
        <v>33</v>
      </c>
      <c r="D105" s="4" t="s">
        <v>24</v>
      </c>
      <c r="E105" s="4" t="s">
        <v>24</v>
      </c>
      <c r="F105" s="4" t="s">
        <v>25</v>
      </c>
      <c r="G105" s="4" t="s">
        <v>25</v>
      </c>
      <c r="H105" s="4" t="s">
        <v>34</v>
      </c>
      <c r="I105" s="5">
        <v>44562</v>
      </c>
      <c r="J105" s="6">
        <v>0</v>
      </c>
      <c r="K105" s="6">
        <v>0</v>
      </c>
      <c r="L105" s="6">
        <v>1.395</v>
      </c>
      <c r="M105" s="6">
        <v>1.395</v>
      </c>
      <c r="N105" s="6">
        <v>1.395</v>
      </c>
      <c r="O105" s="6">
        <v>1.395</v>
      </c>
      <c r="P105" s="6">
        <v>0</v>
      </c>
      <c r="Q105" s="4" t="s">
        <v>26</v>
      </c>
      <c r="R105" s="4">
        <v>0</v>
      </c>
      <c r="S105" s="6">
        <v>0</v>
      </c>
      <c r="T105" s="6">
        <v>30</v>
      </c>
      <c r="U105" s="6">
        <v>75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286.89999999999998</v>
      </c>
      <c r="X105" s="6">
        <f>IF(ISERROR(VLOOKUP($U$105,'TAR FIN'!$A$1:$O$85,15,0)),0,VLOOKUP($U$105,'TAR FIN'!$A$1:$O$85,15,0))</f>
        <v>185.74</v>
      </c>
      <c r="Y105" s="6"/>
      <c r="Z105" s="6">
        <f ca="1">('TUSD BE'!$AM$19+'TUSD BF'!$AM$19+'TUSD CVA'!$AM$19)*1</f>
        <v>344.39337075148899</v>
      </c>
      <c r="AA105" s="6">
        <f>('TE BE'!$AB$10+'TE BF'!$AB$10+'TE CVA'!$AB$10)*1</f>
        <v>166.7634981586946</v>
      </c>
      <c r="AB105" s="6">
        <f>$K$105*$V$105</f>
        <v>0</v>
      </c>
      <c r="AC105" s="6">
        <f>$M$105*$W$105</f>
        <v>400.22549999999995</v>
      </c>
      <c r="AD105" s="6">
        <f>$O$105*$X$105</f>
        <v>259.10730000000001</v>
      </c>
      <c r="AE105" s="6">
        <f>$K$105*$Y$105</f>
        <v>0</v>
      </c>
      <c r="AF105" s="6">
        <f ca="1">$M$105*$Z$105</f>
        <v>480.42875219832712</v>
      </c>
      <c r="AG105" s="6">
        <f>$O$105*$AA$105</f>
        <v>232.63507993137898</v>
      </c>
    </row>
    <row r="106" spans="1:33" ht="11.25" customHeight="1" x14ac:dyDescent="0.3">
      <c r="A106" s="4" t="s">
        <v>21</v>
      </c>
      <c r="B106" s="4" t="s">
        <v>22</v>
      </c>
      <c r="C106" s="4" t="s">
        <v>33</v>
      </c>
      <c r="D106" s="4" t="s">
        <v>24</v>
      </c>
      <c r="E106" s="4" t="s">
        <v>24</v>
      </c>
      <c r="F106" s="4" t="s">
        <v>25</v>
      </c>
      <c r="G106" s="4" t="s">
        <v>25</v>
      </c>
      <c r="H106" s="4" t="s">
        <v>34</v>
      </c>
      <c r="I106" s="5">
        <v>44593</v>
      </c>
      <c r="J106" s="6">
        <v>0</v>
      </c>
      <c r="K106" s="6">
        <v>0</v>
      </c>
      <c r="L106" s="6">
        <v>0.75900000000000001</v>
      </c>
      <c r="M106" s="6">
        <v>0.75900000000000001</v>
      </c>
      <c r="N106" s="6">
        <v>0.75900000000000001</v>
      </c>
      <c r="O106" s="6">
        <v>0.75900000000000001</v>
      </c>
      <c r="P106" s="6">
        <v>0</v>
      </c>
      <c r="Q106" s="4" t="s">
        <v>26</v>
      </c>
      <c r="R106" s="4">
        <v>0</v>
      </c>
      <c r="S106" s="6">
        <v>0</v>
      </c>
      <c r="T106" s="6">
        <v>30</v>
      </c>
      <c r="U106" s="6">
        <v>75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286.89999999999998</v>
      </c>
      <c r="X106" s="6">
        <f>IF(ISERROR(VLOOKUP($U$106,'TAR FIN'!$A$1:$O$85,15,0)),0,VLOOKUP($U$106,'TAR FIN'!$A$1:$O$85,15,0))</f>
        <v>185.74</v>
      </c>
      <c r="Y106" s="6"/>
      <c r="Z106" s="6">
        <f ca="1">('TUSD BE'!$AM$19+'TUSD BF'!$AM$19+'TUSD CVA'!$AM$19)*1</f>
        <v>344.39337075148899</v>
      </c>
      <c r="AA106" s="6">
        <f>('TE BE'!$AB$10+'TE BF'!$AB$10+'TE CVA'!$AB$10)*1</f>
        <v>166.7634981586946</v>
      </c>
      <c r="AB106" s="6">
        <f>$K$106*$V$106</f>
        <v>0</v>
      </c>
      <c r="AC106" s="6">
        <f>$M$106*$W$106</f>
        <v>217.75709999999998</v>
      </c>
      <c r="AD106" s="6">
        <f>$O$106*$X$106</f>
        <v>140.97666000000001</v>
      </c>
      <c r="AE106" s="6">
        <f>$K$106*$Y$106</f>
        <v>0</v>
      </c>
      <c r="AF106" s="6">
        <f ca="1">$M$106*$Z$106</f>
        <v>261.39456840038014</v>
      </c>
      <c r="AG106" s="6">
        <f>$O$106*$AA$106</f>
        <v>126.5734951024492</v>
      </c>
    </row>
    <row r="107" spans="1:33" ht="11.25" customHeight="1" x14ac:dyDescent="0.3">
      <c r="A107" s="4" t="s">
        <v>21</v>
      </c>
      <c r="B107" s="4" t="s">
        <v>22</v>
      </c>
      <c r="C107" s="4" t="s">
        <v>33</v>
      </c>
      <c r="D107" s="4" t="s">
        <v>24</v>
      </c>
      <c r="E107" s="4" t="s">
        <v>24</v>
      </c>
      <c r="F107" s="4" t="s">
        <v>25</v>
      </c>
      <c r="G107" s="4" t="s">
        <v>25</v>
      </c>
      <c r="H107" s="4" t="s">
        <v>34</v>
      </c>
      <c r="I107" s="5">
        <v>44621</v>
      </c>
      <c r="J107" s="6">
        <v>0</v>
      </c>
      <c r="K107" s="6">
        <v>0</v>
      </c>
      <c r="L107" s="6">
        <v>0.64500000000000002</v>
      </c>
      <c r="M107" s="6">
        <v>0.64500000000000002</v>
      </c>
      <c r="N107" s="6">
        <v>0.64500000000000002</v>
      </c>
      <c r="O107" s="6">
        <v>0.64500000000000002</v>
      </c>
      <c r="P107" s="6">
        <v>0</v>
      </c>
      <c r="Q107" s="4" t="s">
        <v>26</v>
      </c>
      <c r="R107" s="4">
        <v>0</v>
      </c>
      <c r="S107" s="6">
        <v>0</v>
      </c>
      <c r="T107" s="6">
        <v>30</v>
      </c>
      <c r="U107" s="6">
        <v>75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286.89999999999998</v>
      </c>
      <c r="X107" s="6">
        <f>IF(ISERROR(VLOOKUP($U$107,'TAR FIN'!$A$1:$O$85,15,0)),0,VLOOKUP($U$107,'TAR FIN'!$A$1:$O$85,15,0))</f>
        <v>185.74</v>
      </c>
      <c r="Y107" s="6"/>
      <c r="Z107" s="6">
        <f ca="1">('TUSD BE'!$AM$19+'TUSD BF'!$AM$19+'TUSD CVA'!$AM$19)*1</f>
        <v>344.39337075148899</v>
      </c>
      <c r="AA107" s="6">
        <f>('TE BE'!$AB$10+'TE BF'!$AB$10+'TE CVA'!$AB$10)*1</f>
        <v>166.7634981586946</v>
      </c>
      <c r="AB107" s="6">
        <f>$K$107*$V$107</f>
        <v>0</v>
      </c>
      <c r="AC107" s="6">
        <f>$M$107*$W$107</f>
        <v>185.0505</v>
      </c>
      <c r="AD107" s="6">
        <f>$O$107*$X$107</f>
        <v>119.8023</v>
      </c>
      <c r="AE107" s="6">
        <f>$K$107*$Y$107</f>
        <v>0</v>
      </c>
      <c r="AF107" s="6">
        <f ca="1">$M$107*$Z$107</f>
        <v>222.13372413471041</v>
      </c>
      <c r="AG107" s="6">
        <f>$O$107*$AA$107</f>
        <v>107.56245631235802</v>
      </c>
    </row>
    <row r="108" spans="1:33" ht="11.25" customHeight="1" x14ac:dyDescent="0.3">
      <c r="A108" s="4" t="s">
        <v>21</v>
      </c>
      <c r="B108" s="4" t="s">
        <v>22</v>
      </c>
      <c r="C108" s="4" t="s">
        <v>33</v>
      </c>
      <c r="D108" s="4" t="s">
        <v>24</v>
      </c>
      <c r="E108" s="4" t="s">
        <v>24</v>
      </c>
      <c r="F108" s="4" t="s">
        <v>25</v>
      </c>
      <c r="G108" s="4" t="s">
        <v>25</v>
      </c>
      <c r="H108" s="4" t="s">
        <v>34</v>
      </c>
      <c r="I108" s="5">
        <v>44652</v>
      </c>
      <c r="J108" s="6">
        <v>0</v>
      </c>
      <c r="K108" s="6">
        <v>0</v>
      </c>
      <c r="L108" s="6">
        <v>0.85399999999999998</v>
      </c>
      <c r="M108" s="6">
        <v>0.85399999999999998</v>
      </c>
      <c r="N108" s="6">
        <v>0.85399999999999998</v>
      </c>
      <c r="O108" s="6">
        <v>0.85399999999999998</v>
      </c>
      <c r="P108" s="6">
        <v>0</v>
      </c>
      <c r="Q108" s="4" t="s">
        <v>26</v>
      </c>
      <c r="R108" s="4">
        <v>0</v>
      </c>
      <c r="S108" s="6">
        <v>0</v>
      </c>
      <c r="T108" s="6">
        <v>30</v>
      </c>
      <c r="U108" s="6">
        <v>75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286.89999999999998</v>
      </c>
      <c r="X108" s="6">
        <f>IF(ISERROR(VLOOKUP($U$108,'TAR FIN'!$A$1:$O$85,15,0)),0,VLOOKUP($U$108,'TAR FIN'!$A$1:$O$85,15,0))</f>
        <v>185.74</v>
      </c>
      <c r="Y108" s="6"/>
      <c r="Z108" s="6">
        <f ca="1">('TUSD BE'!$AM$19+'TUSD BF'!$AM$19+'TUSD CVA'!$AM$19)*1</f>
        <v>344.39337075148899</v>
      </c>
      <c r="AA108" s="6">
        <f>('TE BE'!$AB$10+'TE BF'!$AB$10+'TE CVA'!$AB$10)*1</f>
        <v>166.7634981586946</v>
      </c>
      <c r="AB108" s="6">
        <f>$K$108*$V$108</f>
        <v>0</v>
      </c>
      <c r="AC108" s="6">
        <f>$M$108*$W$108</f>
        <v>245.01259999999996</v>
      </c>
      <c r="AD108" s="6">
        <f>$O$108*$X$108</f>
        <v>158.62196</v>
      </c>
      <c r="AE108" s="6">
        <f>$K$108*$Y$108</f>
        <v>0</v>
      </c>
      <c r="AF108" s="6">
        <f ca="1">$M$108*$Z$108</f>
        <v>294.11193862177157</v>
      </c>
      <c r="AG108" s="6">
        <f>$O$108*$AA$108</f>
        <v>142.41602742752519</v>
      </c>
    </row>
    <row r="109" spans="1:33" ht="11.25" customHeight="1" x14ac:dyDescent="0.3">
      <c r="A109" s="4" t="s">
        <v>21</v>
      </c>
      <c r="B109" s="4" t="s">
        <v>22</v>
      </c>
      <c r="C109" s="4" t="s">
        <v>33</v>
      </c>
      <c r="D109" s="4" t="s">
        <v>24</v>
      </c>
      <c r="E109" s="4" t="s">
        <v>24</v>
      </c>
      <c r="F109" s="4" t="s">
        <v>25</v>
      </c>
      <c r="G109" s="4" t="s">
        <v>25</v>
      </c>
      <c r="H109" s="4" t="s">
        <v>34</v>
      </c>
      <c r="I109" s="5">
        <v>44682</v>
      </c>
      <c r="J109" s="6">
        <v>0</v>
      </c>
      <c r="K109" s="6">
        <v>0</v>
      </c>
      <c r="L109" s="6">
        <v>0.95899999999999996</v>
      </c>
      <c r="M109" s="6">
        <v>0.95899999999999996</v>
      </c>
      <c r="N109" s="6">
        <v>0.95899999999999996</v>
      </c>
      <c r="O109" s="6">
        <v>0.95899999999999996</v>
      </c>
      <c r="P109" s="6">
        <v>0</v>
      </c>
      <c r="Q109" s="4" t="s">
        <v>26</v>
      </c>
      <c r="R109" s="4">
        <v>0</v>
      </c>
      <c r="S109" s="6">
        <v>0</v>
      </c>
      <c r="T109" s="6">
        <v>30</v>
      </c>
      <c r="U109" s="6">
        <v>75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286.89999999999998</v>
      </c>
      <c r="X109" s="6">
        <f>IF(ISERROR(VLOOKUP($U$109,'TAR FIN'!$A$1:$O$85,15,0)),0,VLOOKUP($U$109,'TAR FIN'!$A$1:$O$85,15,0))</f>
        <v>185.74</v>
      </c>
      <c r="Y109" s="6"/>
      <c r="Z109" s="6">
        <f ca="1">('TUSD BE'!$AM$19+'TUSD BF'!$AM$19+'TUSD CVA'!$AM$19)*1</f>
        <v>344.39337075148899</v>
      </c>
      <c r="AA109" s="6">
        <f>('TE BE'!$AB$10+'TE BF'!$AB$10+'TE CVA'!$AB$10)*1</f>
        <v>166.7634981586946</v>
      </c>
      <c r="AB109" s="6">
        <f>$K$109*$V$109</f>
        <v>0</v>
      </c>
      <c r="AC109" s="6">
        <f>$M$109*$W$109</f>
        <v>275.13709999999998</v>
      </c>
      <c r="AD109" s="6">
        <f>$O$109*$X$109</f>
        <v>178.12466000000001</v>
      </c>
      <c r="AE109" s="6">
        <f>$K$109*$Y$109</f>
        <v>0</v>
      </c>
      <c r="AF109" s="6">
        <f ca="1">$M$109*$Z$109</f>
        <v>330.27324255067794</v>
      </c>
      <c r="AG109" s="6">
        <f>$O$109*$AA$109</f>
        <v>159.92619473418813</v>
      </c>
    </row>
    <row r="110" spans="1:33" ht="11.25" customHeight="1" x14ac:dyDescent="0.3">
      <c r="A110" s="4" t="s">
        <v>21</v>
      </c>
      <c r="B110" s="4" t="s">
        <v>22</v>
      </c>
      <c r="C110" s="4" t="s">
        <v>33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34</v>
      </c>
      <c r="I110" s="5">
        <v>44713</v>
      </c>
      <c r="J110" s="6">
        <v>0</v>
      </c>
      <c r="K110" s="6">
        <v>0</v>
      </c>
      <c r="L110" s="6">
        <v>0.72699999999999998</v>
      </c>
      <c r="M110" s="6">
        <v>0.72699999999999998</v>
      </c>
      <c r="N110" s="6">
        <v>0.72699999999999998</v>
      </c>
      <c r="O110" s="6">
        <v>0.72699999999999998</v>
      </c>
      <c r="P110" s="6">
        <v>0</v>
      </c>
      <c r="Q110" s="4" t="s">
        <v>26</v>
      </c>
      <c r="R110" s="4">
        <v>0</v>
      </c>
      <c r="S110" s="6">
        <v>0</v>
      </c>
      <c r="T110" s="6">
        <v>30</v>
      </c>
      <c r="U110" s="6">
        <v>75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286.89999999999998</v>
      </c>
      <c r="X110" s="6">
        <f>IF(ISERROR(VLOOKUP($U$110,'TAR FIN'!$A$1:$O$85,15,0)),0,VLOOKUP($U$110,'TAR FIN'!$A$1:$O$85,15,0))</f>
        <v>185.74</v>
      </c>
      <c r="Y110" s="6"/>
      <c r="Z110" s="6">
        <f ca="1">('TUSD BE'!$AM$19+'TUSD BF'!$AM$19+'TUSD CVA'!$AM$19)*1</f>
        <v>344.39337075148899</v>
      </c>
      <c r="AA110" s="6">
        <f>('TE BE'!$AB$10+'TE BF'!$AB$10+'TE CVA'!$AB$10)*1</f>
        <v>166.7634981586946</v>
      </c>
      <c r="AB110" s="6">
        <f>$K$110*$V$110</f>
        <v>0</v>
      </c>
      <c r="AC110" s="6">
        <f>$M$110*$W$110</f>
        <v>208.57629999999997</v>
      </c>
      <c r="AD110" s="6">
        <f>$O$110*$X$110</f>
        <v>135.03298000000001</v>
      </c>
      <c r="AE110" s="6">
        <f>$K$110*$Y$110</f>
        <v>0</v>
      </c>
      <c r="AF110" s="6">
        <f ca="1">$M$110*$Z$110</f>
        <v>250.37398053633248</v>
      </c>
      <c r="AG110" s="6">
        <f>$O$110*$AA$110</f>
        <v>121.23706316137097</v>
      </c>
    </row>
    <row r="111" spans="1:33" ht="11.25" customHeight="1" x14ac:dyDescent="0.3">
      <c r="A111" s="4" t="s">
        <v>21</v>
      </c>
      <c r="B111" s="4" t="s">
        <v>22</v>
      </c>
      <c r="C111" s="4" t="s">
        <v>33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34</v>
      </c>
      <c r="I111" s="5">
        <v>44743</v>
      </c>
      <c r="J111" s="6">
        <v>0</v>
      </c>
      <c r="K111" s="6">
        <v>0</v>
      </c>
      <c r="L111" s="6">
        <v>0.58499999999999996</v>
      </c>
      <c r="M111" s="6">
        <v>0.58499999999999996</v>
      </c>
      <c r="N111" s="6">
        <v>0.58499999999999996</v>
      </c>
      <c r="O111" s="6">
        <v>0.58499999999999996</v>
      </c>
      <c r="P111" s="6">
        <v>0</v>
      </c>
      <c r="Q111" s="4" t="s">
        <v>26</v>
      </c>
      <c r="R111" s="4">
        <v>0</v>
      </c>
      <c r="S111" s="6">
        <v>0</v>
      </c>
      <c r="T111" s="6">
        <v>30</v>
      </c>
      <c r="U111" s="6">
        <v>75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286.89999999999998</v>
      </c>
      <c r="X111" s="6">
        <f>IF(ISERROR(VLOOKUP($U$111,'TAR FIN'!$A$1:$O$85,15,0)),0,VLOOKUP($U$111,'TAR FIN'!$A$1:$O$85,15,0))</f>
        <v>185.74</v>
      </c>
      <c r="Y111" s="6"/>
      <c r="Z111" s="6">
        <f ca="1">('TUSD BE'!$AM$19+'TUSD BF'!$AM$19+'TUSD CVA'!$AM$19)*1</f>
        <v>344.39337075148899</v>
      </c>
      <c r="AA111" s="6">
        <f>('TE BE'!$AB$10+'TE BF'!$AB$10+'TE CVA'!$AB$10)*1</f>
        <v>166.7634981586946</v>
      </c>
      <c r="AB111" s="6">
        <f>$K$111*$V$111</f>
        <v>0</v>
      </c>
      <c r="AC111" s="6">
        <f>$M$111*$W$111</f>
        <v>167.83649999999997</v>
      </c>
      <c r="AD111" s="6">
        <f>$O$111*$X$111</f>
        <v>108.6579</v>
      </c>
      <c r="AE111" s="6">
        <f>$K$111*$Y$111</f>
        <v>0</v>
      </c>
      <c r="AF111" s="6">
        <f ca="1">$M$111*$Z$111</f>
        <v>201.47012188962105</v>
      </c>
      <c r="AG111" s="6">
        <f>$O$111*$AA$111</f>
        <v>97.556646422836337</v>
      </c>
    </row>
    <row r="112" spans="1:33" ht="11.25" customHeight="1" x14ac:dyDescent="0.3">
      <c r="A112" s="4" t="s">
        <v>21</v>
      </c>
      <c r="B112" s="4" t="s">
        <v>22</v>
      </c>
      <c r="C112" s="4" t="s">
        <v>33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34</v>
      </c>
      <c r="I112" s="5">
        <v>44774</v>
      </c>
      <c r="J112" s="6">
        <v>0</v>
      </c>
      <c r="K112" s="6">
        <v>0</v>
      </c>
      <c r="L112" s="6">
        <v>0.68</v>
      </c>
      <c r="M112" s="6">
        <v>0.68</v>
      </c>
      <c r="N112" s="6">
        <v>0.68</v>
      </c>
      <c r="O112" s="6">
        <v>0.68</v>
      </c>
      <c r="P112" s="6">
        <v>0</v>
      </c>
      <c r="Q112" s="4" t="s">
        <v>26</v>
      </c>
      <c r="R112" s="4">
        <v>0</v>
      </c>
      <c r="S112" s="6">
        <v>0</v>
      </c>
      <c r="T112" s="6">
        <v>30</v>
      </c>
      <c r="U112" s="6">
        <v>75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286.89999999999998</v>
      </c>
      <c r="X112" s="6">
        <f>IF(ISERROR(VLOOKUP($U$112,'TAR FIN'!$A$1:$O$85,15,0)),0,VLOOKUP($U$112,'TAR FIN'!$A$1:$O$85,15,0))</f>
        <v>185.74</v>
      </c>
      <c r="Y112" s="6"/>
      <c r="Z112" s="6">
        <f ca="1">('TUSD BE'!$AM$19+'TUSD BF'!$AM$19+'TUSD CVA'!$AM$19)*1</f>
        <v>344.39337075148899</v>
      </c>
      <c r="AA112" s="6">
        <f>('TE BE'!$AB$10+'TE BF'!$AB$10+'TE CVA'!$AB$10)*1</f>
        <v>166.7634981586946</v>
      </c>
      <c r="AB112" s="6">
        <f>$K$112*$V$112</f>
        <v>0</v>
      </c>
      <c r="AC112" s="6">
        <f>$M$112*$W$112</f>
        <v>195.09199999999998</v>
      </c>
      <c r="AD112" s="6">
        <f>$O$112*$X$112</f>
        <v>126.30320000000002</v>
      </c>
      <c r="AE112" s="6">
        <f>$K$112*$Y$112</f>
        <v>0</v>
      </c>
      <c r="AF112" s="6">
        <f ca="1">$M$112*$Z$112</f>
        <v>234.18749211101252</v>
      </c>
      <c r="AG112" s="6">
        <f>$O$112*$AA$112</f>
        <v>113.39917874791234</v>
      </c>
    </row>
    <row r="113" spans="1:33" ht="11.25" customHeight="1" x14ac:dyDescent="0.3">
      <c r="A113" s="4" t="s">
        <v>21</v>
      </c>
      <c r="B113" s="4" t="s">
        <v>22</v>
      </c>
      <c r="C113" s="4" t="s">
        <v>33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42</v>
      </c>
      <c r="I113" s="5">
        <v>44470</v>
      </c>
      <c r="J113" s="6">
        <v>0</v>
      </c>
      <c r="K113" s="6">
        <v>0</v>
      </c>
      <c r="L113" s="6">
        <v>0.04</v>
      </c>
      <c r="M113" s="6">
        <v>0.04</v>
      </c>
      <c r="N113" s="6">
        <v>0.04</v>
      </c>
      <c r="O113" s="6">
        <v>0.04</v>
      </c>
      <c r="P113" s="6">
        <v>0</v>
      </c>
      <c r="Q113" s="4" t="s">
        <v>26</v>
      </c>
      <c r="R113" s="4">
        <v>0</v>
      </c>
      <c r="S113" s="6">
        <v>0</v>
      </c>
      <c r="T113" s="6">
        <v>28</v>
      </c>
      <c r="U113" s="6">
        <v>74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653.51</v>
      </c>
      <c r="X113" s="6">
        <f>IF(ISERROR(VLOOKUP($U$113,'TAR FIN'!$A$1:$O$85,15,0)),0,VLOOKUP($U$113,'TAR FIN'!$A$1:$O$85,15,0))</f>
        <v>185.74</v>
      </c>
      <c r="Y113" s="6"/>
      <c r="Z113" s="6">
        <f ca="1">('TUSD BE'!$AM$18+'TUSD BF'!$AM$18+'TUSD CVA'!$AM$18)*1</f>
        <v>755.17194482661876</v>
      </c>
      <c r="AA113" s="6">
        <f>('TE BE'!$AB$9+'TE BF'!$AB$9+'TE CVA'!$AB$9)*1</f>
        <v>166.7634981586946</v>
      </c>
      <c r="AB113" s="6">
        <f>$K$113*$V$113</f>
        <v>0</v>
      </c>
      <c r="AC113" s="6">
        <f>$M$113*$W$113</f>
        <v>26.1404</v>
      </c>
      <c r="AD113" s="6">
        <f>$O$113*$X$113</f>
        <v>7.4296000000000006</v>
      </c>
      <c r="AE113" s="6">
        <f>$K$113*$Y$113</f>
        <v>0</v>
      </c>
      <c r="AF113" s="6">
        <f ca="1">$M$113*$Z$113</f>
        <v>30.206877793064752</v>
      </c>
      <c r="AG113" s="6">
        <f>$O$113*$AA$113</f>
        <v>6.670539926347784</v>
      </c>
    </row>
    <row r="114" spans="1:33" ht="11.25" customHeight="1" x14ac:dyDescent="0.3">
      <c r="A114" s="4" t="s">
        <v>21</v>
      </c>
      <c r="B114" s="4" t="s">
        <v>22</v>
      </c>
      <c r="C114" s="4" t="s">
        <v>33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42</v>
      </c>
      <c r="I114" s="5">
        <v>44501</v>
      </c>
      <c r="J114" s="6">
        <v>0</v>
      </c>
      <c r="K114" s="6">
        <v>0</v>
      </c>
      <c r="L114" s="6">
        <v>2.7E-2</v>
      </c>
      <c r="M114" s="6">
        <v>2.7E-2</v>
      </c>
      <c r="N114" s="6">
        <v>2.7E-2</v>
      </c>
      <c r="O114" s="6">
        <v>2.7E-2</v>
      </c>
      <c r="P114" s="6">
        <v>0</v>
      </c>
      <c r="Q114" s="4" t="s">
        <v>26</v>
      </c>
      <c r="R114" s="4">
        <v>0</v>
      </c>
      <c r="S114" s="6">
        <v>0</v>
      </c>
      <c r="T114" s="6">
        <v>28</v>
      </c>
      <c r="U114" s="6">
        <v>74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653.51</v>
      </c>
      <c r="X114" s="6">
        <f>IF(ISERROR(VLOOKUP($U$114,'TAR FIN'!$A$1:$O$85,15,0)),0,VLOOKUP($U$114,'TAR FIN'!$A$1:$O$85,15,0))</f>
        <v>185.74</v>
      </c>
      <c r="Y114" s="6"/>
      <c r="Z114" s="6">
        <f ca="1">('TUSD BE'!$AM$18+'TUSD BF'!$AM$18+'TUSD CVA'!$AM$18)*1</f>
        <v>755.17194482661876</v>
      </c>
      <c r="AA114" s="6">
        <f>('TE BE'!$AB$9+'TE BF'!$AB$9+'TE CVA'!$AB$9)*1</f>
        <v>166.7634981586946</v>
      </c>
      <c r="AB114" s="6">
        <f>$K$114*$V$114</f>
        <v>0</v>
      </c>
      <c r="AC114" s="6">
        <f>$M$114*$W$114</f>
        <v>17.644770000000001</v>
      </c>
      <c r="AD114" s="6">
        <f>$O$114*$X$114</f>
        <v>5.0149800000000004</v>
      </c>
      <c r="AE114" s="6">
        <f>$K$114*$Y$114</f>
        <v>0</v>
      </c>
      <c r="AF114" s="6">
        <f ca="1">$M$114*$Z$114</f>
        <v>20.389642510318705</v>
      </c>
      <c r="AG114" s="6">
        <f>$O$114*$AA$114</f>
        <v>4.5026144502847538</v>
      </c>
    </row>
    <row r="115" spans="1:33" ht="11.25" customHeight="1" x14ac:dyDescent="0.3">
      <c r="A115" s="4" t="s">
        <v>21</v>
      </c>
      <c r="B115" s="4" t="s">
        <v>22</v>
      </c>
      <c r="C115" s="4" t="s">
        <v>33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42</v>
      </c>
      <c r="I115" s="5">
        <v>44531</v>
      </c>
      <c r="J115" s="6">
        <v>0</v>
      </c>
      <c r="K115" s="6">
        <v>0</v>
      </c>
      <c r="L115" s="6">
        <v>3.5000000000000003E-2</v>
      </c>
      <c r="M115" s="6">
        <v>3.5000000000000003E-2</v>
      </c>
      <c r="N115" s="6">
        <v>3.5000000000000003E-2</v>
      </c>
      <c r="O115" s="6">
        <v>3.5000000000000003E-2</v>
      </c>
      <c r="P115" s="6">
        <v>0</v>
      </c>
      <c r="Q115" s="4" t="s">
        <v>26</v>
      </c>
      <c r="R115" s="4">
        <v>0</v>
      </c>
      <c r="S115" s="6">
        <v>0</v>
      </c>
      <c r="T115" s="6">
        <v>28</v>
      </c>
      <c r="U115" s="6">
        <v>74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653.51</v>
      </c>
      <c r="X115" s="6">
        <f>IF(ISERROR(VLOOKUP($U$115,'TAR FIN'!$A$1:$O$85,15,0)),0,VLOOKUP($U$115,'TAR FIN'!$A$1:$O$85,15,0))</f>
        <v>185.74</v>
      </c>
      <c r="Y115" s="6"/>
      <c r="Z115" s="6">
        <f ca="1">('TUSD BE'!$AM$18+'TUSD BF'!$AM$18+'TUSD CVA'!$AM$18)*1</f>
        <v>755.17194482661876</v>
      </c>
      <c r="AA115" s="6">
        <f>('TE BE'!$AB$9+'TE BF'!$AB$9+'TE CVA'!$AB$9)*1</f>
        <v>166.7634981586946</v>
      </c>
      <c r="AB115" s="6">
        <f>$K$115*$V$115</f>
        <v>0</v>
      </c>
      <c r="AC115" s="6">
        <f>$M$115*$W$115</f>
        <v>22.872850000000003</v>
      </c>
      <c r="AD115" s="6">
        <f>$O$115*$X$115</f>
        <v>6.5009000000000006</v>
      </c>
      <c r="AE115" s="6">
        <f>$K$115*$Y$115</f>
        <v>0</v>
      </c>
      <c r="AF115" s="6">
        <f ca="1">$M$115*$Z$115</f>
        <v>26.43101806893166</v>
      </c>
      <c r="AG115" s="6">
        <f>$O$115*$AA$115</f>
        <v>5.8367224355543117</v>
      </c>
    </row>
    <row r="116" spans="1:33" ht="11.25" customHeight="1" x14ac:dyDescent="0.3">
      <c r="A116" s="4" t="s">
        <v>21</v>
      </c>
      <c r="B116" s="4" t="s">
        <v>22</v>
      </c>
      <c r="C116" s="4" t="s">
        <v>33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42</v>
      </c>
      <c r="I116" s="5">
        <v>44562</v>
      </c>
      <c r="J116" s="6">
        <v>0</v>
      </c>
      <c r="K116" s="6">
        <v>0</v>
      </c>
      <c r="L116" s="6">
        <v>5.0999999999999997E-2</v>
      </c>
      <c r="M116" s="6">
        <v>5.0999999999999997E-2</v>
      </c>
      <c r="N116" s="6">
        <v>5.0999999999999997E-2</v>
      </c>
      <c r="O116" s="6">
        <v>5.0999999999999997E-2</v>
      </c>
      <c r="P116" s="6">
        <v>0</v>
      </c>
      <c r="Q116" s="4" t="s">
        <v>26</v>
      </c>
      <c r="R116" s="4">
        <v>0</v>
      </c>
      <c r="S116" s="6">
        <v>0</v>
      </c>
      <c r="T116" s="6">
        <v>28</v>
      </c>
      <c r="U116" s="6">
        <v>74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653.51</v>
      </c>
      <c r="X116" s="6">
        <f>IF(ISERROR(VLOOKUP($U$116,'TAR FIN'!$A$1:$O$85,15,0)),0,VLOOKUP($U$116,'TAR FIN'!$A$1:$O$85,15,0))</f>
        <v>185.74</v>
      </c>
      <c r="Y116" s="6"/>
      <c r="Z116" s="6">
        <f ca="1">('TUSD BE'!$AM$18+'TUSD BF'!$AM$18+'TUSD CVA'!$AM$18)*1</f>
        <v>755.17194482661876</v>
      </c>
      <c r="AA116" s="6">
        <f>('TE BE'!$AB$9+'TE BF'!$AB$9+'TE CVA'!$AB$9)*1</f>
        <v>166.7634981586946</v>
      </c>
      <c r="AB116" s="6">
        <f>$K$116*$V$116</f>
        <v>0</v>
      </c>
      <c r="AC116" s="6">
        <f>$M$116*$W$116</f>
        <v>33.329009999999997</v>
      </c>
      <c r="AD116" s="6">
        <f>$O$116*$X$116</f>
        <v>9.4727399999999999</v>
      </c>
      <c r="AE116" s="6">
        <f>$K$116*$Y$116</f>
        <v>0</v>
      </c>
      <c r="AF116" s="6">
        <f ca="1">$M$116*$Z$116</f>
        <v>38.513769186157553</v>
      </c>
      <c r="AG116" s="6">
        <f>$O$116*$AA$116</f>
        <v>8.5049384060934248</v>
      </c>
    </row>
    <row r="117" spans="1:33" ht="11.25" customHeight="1" x14ac:dyDescent="0.3">
      <c r="A117" s="4" t="s">
        <v>21</v>
      </c>
      <c r="B117" s="4" t="s">
        <v>22</v>
      </c>
      <c r="C117" s="4" t="s">
        <v>33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42</v>
      </c>
      <c r="I117" s="5">
        <v>44593</v>
      </c>
      <c r="J117" s="6">
        <v>0</v>
      </c>
      <c r="K117" s="6">
        <v>0</v>
      </c>
      <c r="L117" s="6">
        <v>1.2999999999999999E-2</v>
      </c>
      <c r="M117" s="6">
        <v>1.2999999999999999E-2</v>
      </c>
      <c r="N117" s="6">
        <v>1.2999999999999999E-2</v>
      </c>
      <c r="O117" s="6">
        <v>1.2999999999999999E-2</v>
      </c>
      <c r="P117" s="6">
        <v>0</v>
      </c>
      <c r="Q117" s="4" t="s">
        <v>26</v>
      </c>
      <c r="R117" s="4">
        <v>0</v>
      </c>
      <c r="S117" s="6">
        <v>0</v>
      </c>
      <c r="T117" s="6">
        <v>28</v>
      </c>
      <c r="U117" s="6">
        <v>74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653.51</v>
      </c>
      <c r="X117" s="6">
        <f>IF(ISERROR(VLOOKUP($U$117,'TAR FIN'!$A$1:$O$85,15,0)),0,VLOOKUP($U$117,'TAR FIN'!$A$1:$O$85,15,0))</f>
        <v>185.74</v>
      </c>
      <c r="Y117" s="6"/>
      <c r="Z117" s="6">
        <f ca="1">('TUSD BE'!$AM$18+'TUSD BF'!$AM$18+'TUSD CVA'!$AM$18)*1</f>
        <v>755.17194482661876</v>
      </c>
      <c r="AA117" s="6">
        <f>('TE BE'!$AB$9+'TE BF'!$AB$9+'TE CVA'!$AB$9)*1</f>
        <v>166.7634981586946</v>
      </c>
      <c r="AB117" s="6">
        <f>$K$117*$V$117</f>
        <v>0</v>
      </c>
      <c r="AC117" s="6">
        <f>$M$117*$W$117</f>
        <v>8.4956300000000002</v>
      </c>
      <c r="AD117" s="6">
        <f>$O$117*$X$117</f>
        <v>2.4146200000000002</v>
      </c>
      <c r="AE117" s="6">
        <f>$K$117*$Y$117</f>
        <v>0</v>
      </c>
      <c r="AF117" s="6">
        <f ca="1">$M$117*$Z$117</f>
        <v>9.8172352827460436</v>
      </c>
      <c r="AG117" s="6">
        <f>$O$117*$AA$117</f>
        <v>2.1679254760630298</v>
      </c>
    </row>
    <row r="118" spans="1:33" ht="11.25" customHeight="1" x14ac:dyDescent="0.3">
      <c r="A118" s="4" t="s">
        <v>21</v>
      </c>
      <c r="B118" s="4" t="s">
        <v>22</v>
      </c>
      <c r="C118" s="4" t="s">
        <v>33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42</v>
      </c>
      <c r="I118" s="5">
        <v>44652</v>
      </c>
      <c r="J118" s="6">
        <v>0</v>
      </c>
      <c r="K118" s="6">
        <v>0</v>
      </c>
      <c r="L118" s="6">
        <v>2.5999999999999999E-2</v>
      </c>
      <c r="M118" s="6">
        <v>2.5999999999999999E-2</v>
      </c>
      <c r="N118" s="6">
        <v>2.5999999999999999E-2</v>
      </c>
      <c r="O118" s="6">
        <v>2.5999999999999999E-2</v>
      </c>
      <c r="P118" s="6">
        <v>0</v>
      </c>
      <c r="Q118" s="4" t="s">
        <v>26</v>
      </c>
      <c r="R118" s="4">
        <v>0</v>
      </c>
      <c r="S118" s="6">
        <v>0</v>
      </c>
      <c r="T118" s="6">
        <v>28</v>
      </c>
      <c r="U118" s="6">
        <v>74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653.51</v>
      </c>
      <c r="X118" s="6">
        <f>IF(ISERROR(VLOOKUP($U$118,'TAR FIN'!$A$1:$O$85,15,0)),0,VLOOKUP($U$118,'TAR FIN'!$A$1:$O$85,15,0))</f>
        <v>185.74</v>
      </c>
      <c r="Y118" s="6"/>
      <c r="Z118" s="6">
        <f ca="1">('TUSD BE'!$AM$18+'TUSD BF'!$AM$18+'TUSD CVA'!$AM$18)*1</f>
        <v>755.17194482661876</v>
      </c>
      <c r="AA118" s="6">
        <f>('TE BE'!$AB$9+'TE BF'!$AB$9+'TE CVA'!$AB$9)*1</f>
        <v>166.7634981586946</v>
      </c>
      <c r="AB118" s="6">
        <f>$K$118*$V$118</f>
        <v>0</v>
      </c>
      <c r="AC118" s="6">
        <f>$M$118*$W$118</f>
        <v>16.99126</v>
      </c>
      <c r="AD118" s="6">
        <f>$O$118*$X$118</f>
        <v>4.8292400000000004</v>
      </c>
      <c r="AE118" s="6">
        <f>$K$118*$Y$118</f>
        <v>0</v>
      </c>
      <c r="AF118" s="6">
        <f ca="1">$M$118*$Z$118</f>
        <v>19.634470565492087</v>
      </c>
      <c r="AG118" s="6">
        <f>$O$118*$AA$118</f>
        <v>4.3358509521260595</v>
      </c>
    </row>
    <row r="119" spans="1:33" ht="11.25" customHeight="1" x14ac:dyDescent="0.3">
      <c r="A119" s="4" t="s">
        <v>21</v>
      </c>
      <c r="B119" s="4" t="s">
        <v>22</v>
      </c>
      <c r="C119" s="4" t="s">
        <v>33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42</v>
      </c>
      <c r="I119" s="5">
        <v>44682</v>
      </c>
      <c r="J119" s="6">
        <v>0</v>
      </c>
      <c r="K119" s="6">
        <v>0</v>
      </c>
      <c r="L119" s="6">
        <v>3.5999999999999997E-2</v>
      </c>
      <c r="M119" s="6">
        <v>3.5999999999999997E-2</v>
      </c>
      <c r="N119" s="6">
        <v>3.5999999999999997E-2</v>
      </c>
      <c r="O119" s="6">
        <v>3.5999999999999997E-2</v>
      </c>
      <c r="P119" s="6">
        <v>0</v>
      </c>
      <c r="Q119" s="4" t="s">
        <v>26</v>
      </c>
      <c r="R119" s="4">
        <v>0</v>
      </c>
      <c r="S119" s="6">
        <v>0</v>
      </c>
      <c r="T119" s="6">
        <v>28</v>
      </c>
      <c r="U119" s="6">
        <v>74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653.51</v>
      </c>
      <c r="X119" s="6">
        <f>IF(ISERROR(VLOOKUP($U$119,'TAR FIN'!$A$1:$O$85,15,0)),0,VLOOKUP($U$119,'TAR FIN'!$A$1:$O$85,15,0))</f>
        <v>185.74</v>
      </c>
      <c r="Y119" s="6"/>
      <c r="Z119" s="6">
        <f ca="1">('TUSD BE'!$AM$18+'TUSD BF'!$AM$18+'TUSD CVA'!$AM$18)*1</f>
        <v>755.17194482661876</v>
      </c>
      <c r="AA119" s="6">
        <f>('TE BE'!$AB$9+'TE BF'!$AB$9+'TE CVA'!$AB$9)*1</f>
        <v>166.7634981586946</v>
      </c>
      <c r="AB119" s="6">
        <f>$K$119*$V$119</f>
        <v>0</v>
      </c>
      <c r="AC119" s="6">
        <f>$M$119*$W$119</f>
        <v>23.526359999999997</v>
      </c>
      <c r="AD119" s="6">
        <f>$O$119*$X$119</f>
        <v>6.6866399999999997</v>
      </c>
      <c r="AE119" s="6">
        <f>$K$119*$Y$119</f>
        <v>0</v>
      </c>
      <c r="AF119" s="6">
        <f ca="1">$M$119*$Z$119</f>
        <v>27.186190013758274</v>
      </c>
      <c r="AG119" s="6">
        <f>$O$119*$AA$119</f>
        <v>6.0034859337130051</v>
      </c>
    </row>
    <row r="120" spans="1:33" ht="11.25" customHeight="1" x14ac:dyDescent="0.3">
      <c r="A120" s="4" t="s">
        <v>21</v>
      </c>
      <c r="B120" s="4" t="s">
        <v>22</v>
      </c>
      <c r="C120" s="4" t="s">
        <v>33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42</v>
      </c>
      <c r="I120" s="5">
        <v>44713</v>
      </c>
      <c r="J120" s="6">
        <v>0</v>
      </c>
      <c r="K120" s="6">
        <v>0</v>
      </c>
      <c r="L120" s="6">
        <v>4.8000000000000001E-2</v>
      </c>
      <c r="M120" s="6">
        <v>4.8000000000000001E-2</v>
      </c>
      <c r="N120" s="6">
        <v>4.8000000000000001E-2</v>
      </c>
      <c r="O120" s="6">
        <v>4.8000000000000001E-2</v>
      </c>
      <c r="P120" s="6">
        <v>0</v>
      </c>
      <c r="Q120" s="4" t="s">
        <v>26</v>
      </c>
      <c r="R120" s="4">
        <v>0</v>
      </c>
      <c r="S120" s="6">
        <v>0</v>
      </c>
      <c r="T120" s="6">
        <v>28</v>
      </c>
      <c r="U120" s="6">
        <v>74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653.51</v>
      </c>
      <c r="X120" s="6">
        <f>IF(ISERROR(VLOOKUP($U$120,'TAR FIN'!$A$1:$O$85,15,0)),0,VLOOKUP($U$120,'TAR FIN'!$A$1:$O$85,15,0))</f>
        <v>185.74</v>
      </c>
      <c r="Y120" s="6"/>
      <c r="Z120" s="6">
        <f ca="1">('TUSD BE'!$AM$18+'TUSD BF'!$AM$18+'TUSD CVA'!$AM$18)*1</f>
        <v>755.17194482661876</v>
      </c>
      <c r="AA120" s="6">
        <f>('TE BE'!$AB$9+'TE BF'!$AB$9+'TE CVA'!$AB$9)*1</f>
        <v>166.7634981586946</v>
      </c>
      <c r="AB120" s="6">
        <f>$K$120*$V$120</f>
        <v>0</v>
      </c>
      <c r="AC120" s="6">
        <f>$M$120*$W$120</f>
        <v>31.368480000000002</v>
      </c>
      <c r="AD120" s="6">
        <f>$O$120*$X$120</f>
        <v>8.9155200000000008</v>
      </c>
      <c r="AE120" s="6">
        <f>$K$120*$Y$120</f>
        <v>0</v>
      </c>
      <c r="AF120" s="6">
        <f ca="1">$M$120*$Z$120</f>
        <v>36.248253351677704</v>
      </c>
      <c r="AG120" s="6">
        <f>$O$120*$AA$120</f>
        <v>8.0046479116173419</v>
      </c>
    </row>
    <row r="121" spans="1:33" ht="11.25" customHeight="1" x14ac:dyDescent="0.3">
      <c r="A121" s="4" t="s">
        <v>21</v>
      </c>
      <c r="B121" s="4" t="s">
        <v>22</v>
      </c>
      <c r="C121" s="4" t="s">
        <v>33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42</v>
      </c>
      <c r="I121" s="5">
        <v>44743</v>
      </c>
      <c r="J121" s="6">
        <v>0</v>
      </c>
      <c r="K121" s="6">
        <v>0</v>
      </c>
      <c r="L121" s="6">
        <v>3.5999999999999997E-2</v>
      </c>
      <c r="M121" s="6">
        <v>3.5999999999999997E-2</v>
      </c>
      <c r="N121" s="6">
        <v>3.5999999999999997E-2</v>
      </c>
      <c r="O121" s="6">
        <v>3.5999999999999997E-2</v>
      </c>
      <c r="P121" s="6">
        <v>0</v>
      </c>
      <c r="Q121" s="4" t="s">
        <v>26</v>
      </c>
      <c r="R121" s="4">
        <v>0</v>
      </c>
      <c r="S121" s="6">
        <v>0</v>
      </c>
      <c r="T121" s="6">
        <v>28</v>
      </c>
      <c r="U121" s="6">
        <v>74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653.51</v>
      </c>
      <c r="X121" s="6">
        <f>IF(ISERROR(VLOOKUP($U$121,'TAR FIN'!$A$1:$O$85,15,0)),0,VLOOKUP($U$121,'TAR FIN'!$A$1:$O$85,15,0))</f>
        <v>185.74</v>
      </c>
      <c r="Y121" s="6"/>
      <c r="Z121" s="6">
        <f ca="1">('TUSD BE'!$AM$18+'TUSD BF'!$AM$18+'TUSD CVA'!$AM$18)*1</f>
        <v>755.17194482661876</v>
      </c>
      <c r="AA121" s="6">
        <f>('TE BE'!$AB$9+'TE BF'!$AB$9+'TE CVA'!$AB$9)*1</f>
        <v>166.7634981586946</v>
      </c>
      <c r="AB121" s="6">
        <f>$K$121*$V$121</f>
        <v>0</v>
      </c>
      <c r="AC121" s="6">
        <f>$M$121*$W$121</f>
        <v>23.526359999999997</v>
      </c>
      <c r="AD121" s="6">
        <f>$O$121*$X$121</f>
        <v>6.6866399999999997</v>
      </c>
      <c r="AE121" s="6">
        <f>$K$121*$Y$121</f>
        <v>0</v>
      </c>
      <c r="AF121" s="6">
        <f ca="1">$M$121*$Z$121</f>
        <v>27.186190013758274</v>
      </c>
      <c r="AG121" s="6">
        <f>$O$121*$AA$121</f>
        <v>6.0034859337130051</v>
      </c>
    </row>
    <row r="122" spans="1:33" ht="11.25" customHeight="1" x14ac:dyDescent="0.3">
      <c r="A122" s="4" t="s">
        <v>21</v>
      </c>
      <c r="B122" s="4" t="s">
        <v>22</v>
      </c>
      <c r="C122" s="4" t="s">
        <v>33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42</v>
      </c>
      <c r="I122" s="5">
        <v>44774</v>
      </c>
      <c r="J122" s="6">
        <v>0</v>
      </c>
      <c r="K122" s="6">
        <v>0</v>
      </c>
      <c r="L122" s="6">
        <v>2.8000000000000001E-2</v>
      </c>
      <c r="M122" s="6">
        <v>2.8000000000000001E-2</v>
      </c>
      <c r="N122" s="6">
        <v>2.8000000000000001E-2</v>
      </c>
      <c r="O122" s="6">
        <v>2.8000000000000001E-2</v>
      </c>
      <c r="P122" s="6">
        <v>0</v>
      </c>
      <c r="Q122" s="4" t="s">
        <v>26</v>
      </c>
      <c r="R122" s="4">
        <v>0</v>
      </c>
      <c r="S122" s="6">
        <v>0</v>
      </c>
      <c r="T122" s="6">
        <v>28</v>
      </c>
      <c r="U122" s="6">
        <v>74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653.51</v>
      </c>
      <c r="X122" s="6">
        <f>IF(ISERROR(VLOOKUP($U$122,'TAR FIN'!$A$1:$O$85,15,0)),0,VLOOKUP($U$122,'TAR FIN'!$A$1:$O$85,15,0))</f>
        <v>185.74</v>
      </c>
      <c r="Y122" s="6"/>
      <c r="Z122" s="6">
        <f ca="1">('TUSD BE'!$AM$18+'TUSD BF'!$AM$18+'TUSD CVA'!$AM$18)*1</f>
        <v>755.17194482661876</v>
      </c>
      <c r="AA122" s="6">
        <f>('TE BE'!$AB$9+'TE BF'!$AB$9+'TE CVA'!$AB$9)*1</f>
        <v>166.7634981586946</v>
      </c>
      <c r="AB122" s="6">
        <f>$K$122*$V$122</f>
        <v>0</v>
      </c>
      <c r="AC122" s="6">
        <f>$M$122*$W$122</f>
        <v>18.298280000000002</v>
      </c>
      <c r="AD122" s="6">
        <f>$O$122*$X$122</f>
        <v>5.2007200000000005</v>
      </c>
      <c r="AE122" s="6">
        <f>$K$122*$Y$122</f>
        <v>0</v>
      </c>
      <c r="AF122" s="6">
        <f ca="1">$M$122*$Z$122</f>
        <v>21.144814455145326</v>
      </c>
      <c r="AG122" s="6">
        <f>$O$122*$AA$122</f>
        <v>4.669377948443449</v>
      </c>
    </row>
    <row r="123" spans="1:33" ht="11.25" customHeight="1" x14ac:dyDescent="0.3">
      <c r="A123" s="4" t="s">
        <v>21</v>
      </c>
      <c r="B123" s="4" t="s">
        <v>22</v>
      </c>
      <c r="C123" s="4" t="s">
        <v>33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39</v>
      </c>
      <c r="I123" s="5">
        <v>44470</v>
      </c>
      <c r="J123" s="6">
        <v>0</v>
      </c>
      <c r="K123" s="6">
        <v>0</v>
      </c>
      <c r="L123" s="6">
        <v>6.6000000000000003E-2</v>
      </c>
      <c r="M123" s="6">
        <v>6.6000000000000003E-2</v>
      </c>
      <c r="N123" s="6">
        <v>6.6000000000000003E-2</v>
      </c>
      <c r="O123" s="6">
        <v>6.6000000000000003E-2</v>
      </c>
      <c r="P123" s="6">
        <v>0</v>
      </c>
      <c r="Q123" s="4" t="s">
        <v>26</v>
      </c>
      <c r="R123" s="4">
        <v>0</v>
      </c>
      <c r="S123" s="6">
        <v>0</v>
      </c>
      <c r="T123" s="6">
        <v>26</v>
      </c>
      <c r="U123" s="6">
        <v>73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1020.18</v>
      </c>
      <c r="X123" s="6">
        <f>IF(ISERROR(VLOOKUP($U$123,'TAR FIN'!$A$1:$O$85,15,0)),0,VLOOKUP($U$123,'TAR FIN'!$A$1:$O$85,15,0))</f>
        <v>185.74</v>
      </c>
      <c r="Y123" s="6"/>
      <c r="Z123" s="6">
        <f ca="1">('TUSD BE'!$AM$17+'TUSD BF'!$AM$17+'TUSD CVA'!$AM$17)*1</f>
        <v>1166.0127324142077</v>
      </c>
      <c r="AA123" s="6">
        <f>('TE BE'!$AB$8+'TE BF'!$AB$8+'TE CVA'!$AB$8)*1</f>
        <v>166.7634981586946</v>
      </c>
      <c r="AB123" s="6">
        <f>$K$123*$V$123</f>
        <v>0</v>
      </c>
      <c r="AC123" s="6">
        <f>$M$123*$W$123</f>
        <v>67.331879999999998</v>
      </c>
      <c r="AD123" s="6">
        <f>$O$123*$X$123</f>
        <v>12.258840000000001</v>
      </c>
      <c r="AE123" s="6">
        <f>$K$123*$Y$123</f>
        <v>0</v>
      </c>
      <c r="AF123" s="6">
        <f ca="1">$M$123*$Z$123</f>
        <v>76.956840339337717</v>
      </c>
      <c r="AG123" s="6">
        <f>$O$123*$AA$123</f>
        <v>11.006390878473844</v>
      </c>
    </row>
    <row r="124" spans="1:33" ht="11.25" customHeight="1" x14ac:dyDescent="0.3">
      <c r="A124" s="4" t="s">
        <v>21</v>
      </c>
      <c r="B124" s="4" t="s">
        <v>22</v>
      </c>
      <c r="C124" s="4" t="s">
        <v>33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39</v>
      </c>
      <c r="I124" s="5">
        <v>44501</v>
      </c>
      <c r="J124" s="6">
        <v>0</v>
      </c>
      <c r="K124" s="6">
        <v>0</v>
      </c>
      <c r="L124" s="6">
        <v>3.3000000000000002E-2</v>
      </c>
      <c r="M124" s="6">
        <v>3.3000000000000002E-2</v>
      </c>
      <c r="N124" s="6">
        <v>3.3000000000000002E-2</v>
      </c>
      <c r="O124" s="6">
        <v>3.3000000000000002E-2</v>
      </c>
      <c r="P124" s="6">
        <v>0</v>
      </c>
      <c r="Q124" s="4" t="s">
        <v>26</v>
      </c>
      <c r="R124" s="4">
        <v>0</v>
      </c>
      <c r="S124" s="6">
        <v>0</v>
      </c>
      <c r="T124" s="6">
        <v>26</v>
      </c>
      <c r="U124" s="6">
        <v>73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1020.18</v>
      </c>
      <c r="X124" s="6">
        <f>IF(ISERROR(VLOOKUP($U$124,'TAR FIN'!$A$1:$O$85,15,0)),0,VLOOKUP($U$124,'TAR FIN'!$A$1:$O$85,15,0))</f>
        <v>185.74</v>
      </c>
      <c r="Y124" s="6"/>
      <c r="Z124" s="6">
        <f ca="1">('TUSD BE'!$AM$17+'TUSD BF'!$AM$17+'TUSD CVA'!$AM$17)*1</f>
        <v>1166.0127324142077</v>
      </c>
      <c r="AA124" s="6">
        <f>('TE BE'!$AB$8+'TE BF'!$AB$8+'TE CVA'!$AB$8)*1</f>
        <v>166.7634981586946</v>
      </c>
      <c r="AB124" s="6">
        <f>$K$124*$V$124</f>
        <v>0</v>
      </c>
      <c r="AC124" s="6">
        <f>$M$124*$W$124</f>
        <v>33.665939999999999</v>
      </c>
      <c r="AD124" s="6">
        <f>$O$124*$X$124</f>
        <v>6.1294200000000005</v>
      </c>
      <c r="AE124" s="6">
        <f>$K$124*$Y$124</f>
        <v>0</v>
      </c>
      <c r="AF124" s="6">
        <f ca="1">$M$124*$Z$124</f>
        <v>38.478420169668858</v>
      </c>
      <c r="AG124" s="6">
        <f>$O$124*$AA$124</f>
        <v>5.5031954392369222</v>
      </c>
    </row>
    <row r="125" spans="1:33" ht="11.25" customHeight="1" x14ac:dyDescent="0.3">
      <c r="A125" s="4" t="s">
        <v>21</v>
      </c>
      <c r="B125" s="4" t="s">
        <v>22</v>
      </c>
      <c r="C125" s="4" t="s">
        <v>33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39</v>
      </c>
      <c r="I125" s="5">
        <v>44531</v>
      </c>
      <c r="J125" s="6">
        <v>0</v>
      </c>
      <c r="K125" s="6">
        <v>0</v>
      </c>
      <c r="L125" s="6">
        <v>4.5999999999999999E-2</v>
      </c>
      <c r="M125" s="6">
        <v>4.5999999999999999E-2</v>
      </c>
      <c r="N125" s="6">
        <v>4.5999999999999999E-2</v>
      </c>
      <c r="O125" s="6">
        <v>4.5999999999999999E-2</v>
      </c>
      <c r="P125" s="6">
        <v>0</v>
      </c>
      <c r="Q125" s="4" t="s">
        <v>26</v>
      </c>
      <c r="R125" s="4">
        <v>0</v>
      </c>
      <c r="S125" s="6">
        <v>0</v>
      </c>
      <c r="T125" s="6">
        <v>26</v>
      </c>
      <c r="U125" s="6">
        <v>73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1020.18</v>
      </c>
      <c r="X125" s="6">
        <f>IF(ISERROR(VLOOKUP($U$125,'TAR FIN'!$A$1:$O$85,15,0)),0,VLOOKUP($U$125,'TAR FIN'!$A$1:$O$85,15,0))</f>
        <v>185.74</v>
      </c>
      <c r="Y125" s="6"/>
      <c r="Z125" s="6">
        <f ca="1">('TUSD BE'!$AM$17+'TUSD BF'!$AM$17+'TUSD CVA'!$AM$17)*1</f>
        <v>1166.0127324142077</v>
      </c>
      <c r="AA125" s="6">
        <f>('TE BE'!$AB$8+'TE BF'!$AB$8+'TE CVA'!$AB$8)*1</f>
        <v>166.7634981586946</v>
      </c>
      <c r="AB125" s="6">
        <f>$K$125*$V$125</f>
        <v>0</v>
      </c>
      <c r="AC125" s="6">
        <f>$M$125*$W$125</f>
        <v>46.928279999999994</v>
      </c>
      <c r="AD125" s="6">
        <f>$O$125*$X$125</f>
        <v>8.5440400000000007</v>
      </c>
      <c r="AE125" s="6">
        <f>$K$125*$Y$125</f>
        <v>0</v>
      </c>
      <c r="AF125" s="6">
        <f ca="1">$M$125*$Z$125</f>
        <v>53.636585691053554</v>
      </c>
      <c r="AG125" s="6">
        <f>$O$125*$AA$125</f>
        <v>7.6711209152999515</v>
      </c>
    </row>
    <row r="126" spans="1:33" ht="11.25" customHeight="1" x14ac:dyDescent="0.3">
      <c r="A126" s="4" t="s">
        <v>21</v>
      </c>
      <c r="B126" s="4" t="s">
        <v>22</v>
      </c>
      <c r="C126" s="4" t="s">
        <v>33</v>
      </c>
      <c r="D126" s="4" t="s">
        <v>24</v>
      </c>
      <c r="E126" s="4" t="s">
        <v>24</v>
      </c>
      <c r="F126" s="4" t="s">
        <v>25</v>
      </c>
      <c r="G126" s="4" t="s">
        <v>25</v>
      </c>
      <c r="H126" s="4" t="s">
        <v>39</v>
      </c>
      <c r="I126" s="5">
        <v>44562</v>
      </c>
      <c r="J126" s="6">
        <v>0</v>
      </c>
      <c r="K126" s="6">
        <v>0</v>
      </c>
      <c r="L126" s="6">
        <v>6.8000000000000005E-2</v>
      </c>
      <c r="M126" s="6">
        <v>6.8000000000000005E-2</v>
      </c>
      <c r="N126" s="6">
        <v>6.8000000000000005E-2</v>
      </c>
      <c r="O126" s="6">
        <v>6.8000000000000005E-2</v>
      </c>
      <c r="P126" s="6">
        <v>0</v>
      </c>
      <c r="Q126" s="4" t="s">
        <v>26</v>
      </c>
      <c r="R126" s="4">
        <v>0</v>
      </c>
      <c r="S126" s="6">
        <v>0</v>
      </c>
      <c r="T126" s="6">
        <v>26</v>
      </c>
      <c r="U126" s="6">
        <v>73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1020.18</v>
      </c>
      <c r="X126" s="6">
        <f>IF(ISERROR(VLOOKUP($U$126,'TAR FIN'!$A$1:$O$85,15,0)),0,VLOOKUP($U$126,'TAR FIN'!$A$1:$O$85,15,0))</f>
        <v>185.74</v>
      </c>
      <c r="Y126" s="6"/>
      <c r="Z126" s="6">
        <f ca="1">('TUSD BE'!$AM$17+'TUSD BF'!$AM$17+'TUSD CVA'!$AM$17)*1</f>
        <v>1166.0127324142077</v>
      </c>
      <c r="AA126" s="6">
        <f>('TE BE'!$AB$8+'TE BF'!$AB$8+'TE CVA'!$AB$8)*1</f>
        <v>166.7634981586946</v>
      </c>
      <c r="AB126" s="6">
        <f>$K$126*$V$126</f>
        <v>0</v>
      </c>
      <c r="AC126" s="6">
        <f>$M$126*$W$126</f>
        <v>69.372240000000005</v>
      </c>
      <c r="AD126" s="6">
        <f>$O$126*$X$126</f>
        <v>12.630320000000001</v>
      </c>
      <c r="AE126" s="6">
        <f>$K$126*$Y$126</f>
        <v>0</v>
      </c>
      <c r="AF126" s="6">
        <f ca="1">$M$126*$Z$126</f>
        <v>79.288865804166122</v>
      </c>
      <c r="AG126" s="6">
        <f>$O$126*$AA$126</f>
        <v>11.339917874791233</v>
      </c>
    </row>
    <row r="127" spans="1:33" ht="11.25" customHeight="1" x14ac:dyDescent="0.3">
      <c r="A127" s="4" t="s">
        <v>21</v>
      </c>
      <c r="B127" s="4" t="s">
        <v>22</v>
      </c>
      <c r="C127" s="4" t="s">
        <v>33</v>
      </c>
      <c r="D127" s="4" t="s">
        <v>24</v>
      </c>
      <c r="E127" s="4" t="s">
        <v>24</v>
      </c>
      <c r="F127" s="4" t="s">
        <v>25</v>
      </c>
      <c r="G127" s="4" t="s">
        <v>25</v>
      </c>
      <c r="H127" s="4" t="s">
        <v>39</v>
      </c>
      <c r="I127" s="5">
        <v>44593</v>
      </c>
      <c r="J127" s="6">
        <v>0</v>
      </c>
      <c r="K127" s="6">
        <v>0</v>
      </c>
      <c r="L127" s="6">
        <v>3.4000000000000002E-2</v>
      </c>
      <c r="M127" s="6">
        <v>3.4000000000000002E-2</v>
      </c>
      <c r="N127" s="6">
        <v>3.4000000000000002E-2</v>
      </c>
      <c r="O127" s="6">
        <v>3.4000000000000002E-2</v>
      </c>
      <c r="P127" s="6">
        <v>0</v>
      </c>
      <c r="Q127" s="4" t="s">
        <v>26</v>
      </c>
      <c r="R127" s="4">
        <v>0</v>
      </c>
      <c r="S127" s="6">
        <v>0</v>
      </c>
      <c r="T127" s="6">
        <v>26</v>
      </c>
      <c r="U127" s="6">
        <v>73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1020.18</v>
      </c>
      <c r="X127" s="6">
        <f>IF(ISERROR(VLOOKUP($U$127,'TAR FIN'!$A$1:$O$85,15,0)),0,VLOOKUP($U$127,'TAR FIN'!$A$1:$O$85,15,0))</f>
        <v>185.74</v>
      </c>
      <c r="Y127" s="6"/>
      <c r="Z127" s="6">
        <f ca="1">('TUSD BE'!$AM$17+'TUSD BF'!$AM$17+'TUSD CVA'!$AM$17)*1</f>
        <v>1166.0127324142077</v>
      </c>
      <c r="AA127" s="6">
        <f>('TE BE'!$AB$8+'TE BF'!$AB$8+'TE CVA'!$AB$8)*1</f>
        <v>166.7634981586946</v>
      </c>
      <c r="AB127" s="6">
        <f>$K$127*$V$127</f>
        <v>0</v>
      </c>
      <c r="AC127" s="6">
        <f>$M$127*$W$127</f>
        <v>34.686120000000003</v>
      </c>
      <c r="AD127" s="6">
        <f>$O$127*$X$127</f>
        <v>6.3151600000000006</v>
      </c>
      <c r="AE127" s="6">
        <f>$K$127*$Y$127</f>
        <v>0</v>
      </c>
      <c r="AF127" s="6">
        <f ca="1">$M$127*$Z$127</f>
        <v>39.644432902083061</v>
      </c>
      <c r="AG127" s="6">
        <f>$O$127*$AA$127</f>
        <v>5.6699589373956165</v>
      </c>
    </row>
    <row r="128" spans="1:33" ht="11.25" customHeight="1" x14ac:dyDescent="0.3">
      <c r="A128" s="4" t="s">
        <v>21</v>
      </c>
      <c r="B128" s="4" t="s">
        <v>22</v>
      </c>
      <c r="C128" s="4" t="s">
        <v>33</v>
      </c>
      <c r="D128" s="4" t="s">
        <v>24</v>
      </c>
      <c r="E128" s="4" t="s">
        <v>24</v>
      </c>
      <c r="F128" s="4" t="s">
        <v>25</v>
      </c>
      <c r="G128" s="4" t="s">
        <v>25</v>
      </c>
      <c r="H128" s="4" t="s">
        <v>39</v>
      </c>
      <c r="I128" s="5">
        <v>44621</v>
      </c>
      <c r="J128" s="6">
        <v>0</v>
      </c>
      <c r="K128" s="6">
        <v>0</v>
      </c>
      <c r="L128" s="6">
        <v>1.7999999999999999E-2</v>
      </c>
      <c r="M128" s="6">
        <v>1.7999999999999999E-2</v>
      </c>
      <c r="N128" s="6">
        <v>1.7999999999999999E-2</v>
      </c>
      <c r="O128" s="6">
        <v>1.7999999999999999E-2</v>
      </c>
      <c r="P128" s="6">
        <v>0</v>
      </c>
      <c r="Q128" s="4" t="s">
        <v>26</v>
      </c>
      <c r="R128" s="4">
        <v>0</v>
      </c>
      <c r="S128" s="6">
        <v>0</v>
      </c>
      <c r="T128" s="6">
        <v>26</v>
      </c>
      <c r="U128" s="6">
        <v>73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1020.18</v>
      </c>
      <c r="X128" s="6">
        <f>IF(ISERROR(VLOOKUP($U$128,'TAR FIN'!$A$1:$O$85,15,0)),0,VLOOKUP($U$128,'TAR FIN'!$A$1:$O$85,15,0))</f>
        <v>185.74</v>
      </c>
      <c r="Y128" s="6"/>
      <c r="Z128" s="6">
        <f ca="1">('TUSD BE'!$AM$17+'TUSD BF'!$AM$17+'TUSD CVA'!$AM$17)*1</f>
        <v>1166.0127324142077</v>
      </c>
      <c r="AA128" s="6">
        <f>('TE BE'!$AB$8+'TE BF'!$AB$8+'TE CVA'!$AB$8)*1</f>
        <v>166.7634981586946</v>
      </c>
      <c r="AB128" s="6">
        <f>$K$128*$V$128</f>
        <v>0</v>
      </c>
      <c r="AC128" s="6">
        <f>$M$128*$W$128</f>
        <v>18.363239999999998</v>
      </c>
      <c r="AD128" s="6">
        <f>$O$128*$X$128</f>
        <v>3.3433199999999998</v>
      </c>
      <c r="AE128" s="6">
        <f>$K$128*$Y$128</f>
        <v>0</v>
      </c>
      <c r="AF128" s="6">
        <f ca="1">$M$128*$Z$128</f>
        <v>20.988229183455736</v>
      </c>
      <c r="AG128" s="6">
        <f>$O$128*$AA$128</f>
        <v>3.0017429668565025</v>
      </c>
    </row>
    <row r="129" spans="1:33" ht="11.25" customHeight="1" x14ac:dyDescent="0.3">
      <c r="A129" s="4" t="s">
        <v>21</v>
      </c>
      <c r="B129" s="4" t="s">
        <v>22</v>
      </c>
      <c r="C129" s="4" t="s">
        <v>33</v>
      </c>
      <c r="D129" s="4" t="s">
        <v>24</v>
      </c>
      <c r="E129" s="4" t="s">
        <v>24</v>
      </c>
      <c r="F129" s="4" t="s">
        <v>25</v>
      </c>
      <c r="G129" s="4" t="s">
        <v>25</v>
      </c>
      <c r="H129" s="4" t="s">
        <v>39</v>
      </c>
      <c r="I129" s="5">
        <v>44652</v>
      </c>
      <c r="J129" s="6">
        <v>0</v>
      </c>
      <c r="K129" s="6">
        <v>0</v>
      </c>
      <c r="L129" s="6">
        <v>6.5000000000000002E-2</v>
      </c>
      <c r="M129" s="6">
        <v>6.5000000000000002E-2</v>
      </c>
      <c r="N129" s="6">
        <v>6.5000000000000002E-2</v>
      </c>
      <c r="O129" s="6">
        <v>6.5000000000000002E-2</v>
      </c>
      <c r="P129" s="6">
        <v>0</v>
      </c>
      <c r="Q129" s="4" t="s">
        <v>26</v>
      </c>
      <c r="R129" s="4">
        <v>0</v>
      </c>
      <c r="S129" s="6">
        <v>0</v>
      </c>
      <c r="T129" s="6">
        <v>26</v>
      </c>
      <c r="U129" s="6">
        <v>73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1020.18</v>
      </c>
      <c r="X129" s="6">
        <f>IF(ISERROR(VLOOKUP($U$129,'TAR FIN'!$A$1:$O$85,15,0)),0,VLOOKUP($U$129,'TAR FIN'!$A$1:$O$85,15,0))</f>
        <v>185.74</v>
      </c>
      <c r="Y129" s="6"/>
      <c r="Z129" s="6">
        <f ca="1">('TUSD BE'!$AM$17+'TUSD BF'!$AM$17+'TUSD CVA'!$AM$17)*1</f>
        <v>1166.0127324142077</v>
      </c>
      <c r="AA129" s="6">
        <f>('TE BE'!$AB$8+'TE BF'!$AB$8+'TE CVA'!$AB$8)*1</f>
        <v>166.7634981586946</v>
      </c>
      <c r="AB129" s="6">
        <f>$K$129*$V$129</f>
        <v>0</v>
      </c>
      <c r="AC129" s="6">
        <f>$M$129*$W$129</f>
        <v>66.311700000000002</v>
      </c>
      <c r="AD129" s="6">
        <f>$O$129*$X$129</f>
        <v>12.0731</v>
      </c>
      <c r="AE129" s="6">
        <f>$K$129*$Y$129</f>
        <v>0</v>
      </c>
      <c r="AF129" s="6">
        <f ca="1">$M$129*$Z$129</f>
        <v>75.7908276069235</v>
      </c>
      <c r="AG129" s="6">
        <f>$O$129*$AA$129</f>
        <v>10.83962738031515</v>
      </c>
    </row>
    <row r="130" spans="1:33" ht="11.25" customHeight="1" x14ac:dyDescent="0.3">
      <c r="A130" s="4" t="s">
        <v>21</v>
      </c>
      <c r="B130" s="4" t="s">
        <v>22</v>
      </c>
      <c r="C130" s="4" t="s">
        <v>33</v>
      </c>
      <c r="D130" s="4" t="s">
        <v>24</v>
      </c>
      <c r="E130" s="4" t="s">
        <v>24</v>
      </c>
      <c r="F130" s="4" t="s">
        <v>25</v>
      </c>
      <c r="G130" s="4" t="s">
        <v>25</v>
      </c>
      <c r="H130" s="4" t="s">
        <v>39</v>
      </c>
      <c r="I130" s="5">
        <v>44682</v>
      </c>
      <c r="J130" s="6">
        <v>0</v>
      </c>
      <c r="K130" s="6">
        <v>0</v>
      </c>
      <c r="L130" s="6">
        <v>9.6000000000000002E-2</v>
      </c>
      <c r="M130" s="6">
        <v>9.6000000000000002E-2</v>
      </c>
      <c r="N130" s="6">
        <v>9.6000000000000002E-2</v>
      </c>
      <c r="O130" s="6">
        <v>9.6000000000000002E-2</v>
      </c>
      <c r="P130" s="6">
        <v>0</v>
      </c>
      <c r="Q130" s="4" t="s">
        <v>26</v>
      </c>
      <c r="R130" s="4">
        <v>0</v>
      </c>
      <c r="S130" s="6">
        <v>0</v>
      </c>
      <c r="T130" s="6">
        <v>26</v>
      </c>
      <c r="U130" s="6">
        <v>73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1020.18</v>
      </c>
      <c r="X130" s="6">
        <f>IF(ISERROR(VLOOKUP($U$130,'TAR FIN'!$A$1:$O$85,15,0)),0,VLOOKUP($U$130,'TAR FIN'!$A$1:$O$85,15,0))</f>
        <v>185.74</v>
      </c>
      <c r="Y130" s="6"/>
      <c r="Z130" s="6">
        <f ca="1">('TUSD BE'!$AM$17+'TUSD BF'!$AM$17+'TUSD CVA'!$AM$17)*1</f>
        <v>1166.0127324142077</v>
      </c>
      <c r="AA130" s="6">
        <f>('TE BE'!$AB$8+'TE BF'!$AB$8+'TE CVA'!$AB$8)*1</f>
        <v>166.7634981586946</v>
      </c>
      <c r="AB130" s="6">
        <f>$K$130*$V$130</f>
        <v>0</v>
      </c>
      <c r="AC130" s="6">
        <f>$M$130*$W$130</f>
        <v>97.937280000000001</v>
      </c>
      <c r="AD130" s="6">
        <f>$O$130*$X$130</f>
        <v>17.831040000000002</v>
      </c>
      <c r="AE130" s="6">
        <f>$K$130*$Y$130</f>
        <v>0</v>
      </c>
      <c r="AF130" s="6">
        <f ca="1">$M$130*$Z$130</f>
        <v>111.93722231176393</v>
      </c>
      <c r="AG130" s="6">
        <f>$O$130*$AA$130</f>
        <v>16.009295823234684</v>
      </c>
    </row>
    <row r="131" spans="1:33" ht="11.25" customHeight="1" x14ac:dyDescent="0.3">
      <c r="A131" s="4" t="s">
        <v>21</v>
      </c>
      <c r="B131" s="4" t="s">
        <v>22</v>
      </c>
      <c r="C131" s="4" t="s">
        <v>33</v>
      </c>
      <c r="D131" s="4" t="s">
        <v>24</v>
      </c>
      <c r="E131" s="4" t="s">
        <v>24</v>
      </c>
      <c r="F131" s="4" t="s">
        <v>25</v>
      </c>
      <c r="G131" s="4" t="s">
        <v>25</v>
      </c>
      <c r="H131" s="4" t="s">
        <v>39</v>
      </c>
      <c r="I131" s="5">
        <v>44713</v>
      </c>
      <c r="J131" s="6">
        <v>0</v>
      </c>
      <c r="K131" s="6">
        <v>0</v>
      </c>
      <c r="L131" s="6">
        <v>8.4000000000000005E-2</v>
      </c>
      <c r="M131" s="6">
        <v>8.4000000000000005E-2</v>
      </c>
      <c r="N131" s="6">
        <v>8.4000000000000005E-2</v>
      </c>
      <c r="O131" s="6">
        <v>8.4000000000000005E-2</v>
      </c>
      <c r="P131" s="6">
        <v>0</v>
      </c>
      <c r="Q131" s="4" t="s">
        <v>26</v>
      </c>
      <c r="R131" s="4">
        <v>0</v>
      </c>
      <c r="S131" s="6">
        <v>0</v>
      </c>
      <c r="T131" s="6">
        <v>26</v>
      </c>
      <c r="U131" s="6">
        <v>73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1020.18</v>
      </c>
      <c r="X131" s="6">
        <f>IF(ISERROR(VLOOKUP($U$131,'TAR FIN'!$A$1:$O$85,15,0)),0,VLOOKUP($U$131,'TAR FIN'!$A$1:$O$85,15,0))</f>
        <v>185.74</v>
      </c>
      <c r="Y131" s="6"/>
      <c r="Z131" s="6">
        <f ca="1">('TUSD BE'!$AM$17+'TUSD BF'!$AM$17+'TUSD CVA'!$AM$17)*1</f>
        <v>1166.0127324142077</v>
      </c>
      <c r="AA131" s="6">
        <f>('TE BE'!$AB$8+'TE BF'!$AB$8+'TE CVA'!$AB$8)*1</f>
        <v>166.7634981586946</v>
      </c>
      <c r="AB131" s="6">
        <f>$K$131*$V$131</f>
        <v>0</v>
      </c>
      <c r="AC131" s="6">
        <f>$M$131*$W$131</f>
        <v>85.695120000000003</v>
      </c>
      <c r="AD131" s="6">
        <f>$O$131*$X$131</f>
        <v>15.602160000000001</v>
      </c>
      <c r="AE131" s="6">
        <f>$K$131*$Y$131</f>
        <v>0</v>
      </c>
      <c r="AF131" s="6">
        <f ca="1">$M$131*$Z$131</f>
        <v>97.945069522793446</v>
      </c>
      <c r="AG131" s="6">
        <f>$O$131*$AA$131</f>
        <v>14.008133845330347</v>
      </c>
    </row>
    <row r="132" spans="1:33" ht="11.25" customHeight="1" x14ac:dyDescent="0.3">
      <c r="A132" s="4" t="s">
        <v>21</v>
      </c>
      <c r="B132" s="4" t="s">
        <v>22</v>
      </c>
      <c r="C132" s="4" t="s">
        <v>33</v>
      </c>
      <c r="D132" s="4" t="s">
        <v>24</v>
      </c>
      <c r="E132" s="4" t="s">
        <v>24</v>
      </c>
      <c r="F132" s="4" t="s">
        <v>25</v>
      </c>
      <c r="G132" s="4" t="s">
        <v>25</v>
      </c>
      <c r="H132" s="4" t="s">
        <v>39</v>
      </c>
      <c r="I132" s="5">
        <v>44743</v>
      </c>
      <c r="J132" s="6">
        <v>0</v>
      </c>
      <c r="K132" s="6">
        <v>0</v>
      </c>
      <c r="L132" s="6">
        <v>8.4000000000000005E-2</v>
      </c>
      <c r="M132" s="6">
        <v>8.4000000000000005E-2</v>
      </c>
      <c r="N132" s="6">
        <v>8.4000000000000005E-2</v>
      </c>
      <c r="O132" s="6">
        <v>8.4000000000000005E-2</v>
      </c>
      <c r="P132" s="6">
        <v>0</v>
      </c>
      <c r="Q132" s="4" t="s">
        <v>26</v>
      </c>
      <c r="R132" s="4">
        <v>0</v>
      </c>
      <c r="S132" s="6">
        <v>0</v>
      </c>
      <c r="T132" s="6">
        <v>26</v>
      </c>
      <c r="U132" s="6">
        <v>73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1020.18</v>
      </c>
      <c r="X132" s="6">
        <f>IF(ISERROR(VLOOKUP($U$132,'TAR FIN'!$A$1:$O$85,15,0)),0,VLOOKUP($U$132,'TAR FIN'!$A$1:$O$85,15,0))</f>
        <v>185.74</v>
      </c>
      <c r="Y132" s="6"/>
      <c r="Z132" s="6">
        <f ca="1">('TUSD BE'!$AM$17+'TUSD BF'!$AM$17+'TUSD CVA'!$AM$17)*1</f>
        <v>1166.0127324142077</v>
      </c>
      <c r="AA132" s="6">
        <f>('TE BE'!$AB$8+'TE BF'!$AB$8+'TE CVA'!$AB$8)*1</f>
        <v>166.7634981586946</v>
      </c>
      <c r="AB132" s="6">
        <f>$K$132*$V$132</f>
        <v>0</v>
      </c>
      <c r="AC132" s="6">
        <f>$M$132*$W$132</f>
        <v>85.695120000000003</v>
      </c>
      <c r="AD132" s="6">
        <f>$O$132*$X$132</f>
        <v>15.602160000000001</v>
      </c>
      <c r="AE132" s="6">
        <f>$K$132*$Y$132</f>
        <v>0</v>
      </c>
      <c r="AF132" s="6">
        <f ca="1">$M$132*$Z$132</f>
        <v>97.945069522793446</v>
      </c>
      <c r="AG132" s="6">
        <f>$O$132*$AA$132</f>
        <v>14.008133845330347</v>
      </c>
    </row>
    <row r="133" spans="1:33" ht="11.25" customHeight="1" x14ac:dyDescent="0.3">
      <c r="A133" s="4" t="s">
        <v>21</v>
      </c>
      <c r="B133" s="4" t="s">
        <v>22</v>
      </c>
      <c r="C133" s="4" t="s">
        <v>33</v>
      </c>
      <c r="D133" s="4" t="s">
        <v>24</v>
      </c>
      <c r="E133" s="4" t="s">
        <v>24</v>
      </c>
      <c r="F133" s="4" t="s">
        <v>25</v>
      </c>
      <c r="G133" s="4" t="s">
        <v>25</v>
      </c>
      <c r="H133" s="4" t="s">
        <v>39</v>
      </c>
      <c r="I133" s="5">
        <v>44774</v>
      </c>
      <c r="J133" s="6">
        <v>0</v>
      </c>
      <c r="K133" s="6">
        <v>0</v>
      </c>
      <c r="L133" s="6">
        <v>7.3999999999999996E-2</v>
      </c>
      <c r="M133" s="6">
        <v>7.3999999999999996E-2</v>
      </c>
      <c r="N133" s="6">
        <v>7.3999999999999996E-2</v>
      </c>
      <c r="O133" s="6">
        <v>7.3999999999999996E-2</v>
      </c>
      <c r="P133" s="6">
        <v>0</v>
      </c>
      <c r="Q133" s="4" t="s">
        <v>26</v>
      </c>
      <c r="R133" s="4">
        <v>0</v>
      </c>
      <c r="S133" s="6">
        <v>0</v>
      </c>
      <c r="T133" s="6">
        <v>26</v>
      </c>
      <c r="U133" s="6">
        <v>73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1020.18</v>
      </c>
      <c r="X133" s="6">
        <f>IF(ISERROR(VLOOKUP($U$133,'TAR FIN'!$A$1:$O$85,15,0)),0,VLOOKUP($U$133,'TAR FIN'!$A$1:$O$85,15,0))</f>
        <v>185.74</v>
      </c>
      <c r="Y133" s="6"/>
      <c r="Z133" s="6">
        <f ca="1">('TUSD BE'!$AM$17+'TUSD BF'!$AM$17+'TUSD CVA'!$AM$17)*1</f>
        <v>1166.0127324142077</v>
      </c>
      <c r="AA133" s="6">
        <f>('TE BE'!$AB$8+'TE BF'!$AB$8+'TE CVA'!$AB$8)*1</f>
        <v>166.7634981586946</v>
      </c>
      <c r="AB133" s="6">
        <f>$K$133*$V$133</f>
        <v>0</v>
      </c>
      <c r="AC133" s="6">
        <f>$M$133*$W$133</f>
        <v>75.493319999999997</v>
      </c>
      <c r="AD133" s="6">
        <f>$O$133*$X$133</f>
        <v>13.744759999999999</v>
      </c>
      <c r="AE133" s="6">
        <f>$K$133*$Y$133</f>
        <v>0</v>
      </c>
      <c r="AF133" s="6">
        <f ca="1">$M$133*$Z$133</f>
        <v>86.284942198651365</v>
      </c>
      <c r="AG133" s="6">
        <f>$O$133*$AA$133</f>
        <v>12.340498863743401</v>
      </c>
    </row>
    <row r="134" spans="1:33" ht="11.25" customHeight="1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24</v>
      </c>
      <c r="F134" s="4" t="s">
        <v>25</v>
      </c>
      <c r="G134" s="4" t="s">
        <v>25</v>
      </c>
      <c r="H134" s="4" t="s">
        <v>25</v>
      </c>
      <c r="I134" s="5">
        <v>44440</v>
      </c>
      <c r="J134" s="6">
        <v>0</v>
      </c>
      <c r="K134" s="6">
        <v>0</v>
      </c>
      <c r="L134" s="6">
        <v>1219.5219999999999</v>
      </c>
      <c r="M134" s="6">
        <v>1219.5219999999999</v>
      </c>
      <c r="N134" s="6">
        <v>1219.5219999999999</v>
      </c>
      <c r="O134" s="6">
        <v>1219.5219999999999</v>
      </c>
      <c r="P134" s="6">
        <v>7983</v>
      </c>
      <c r="Q134" s="4" t="s">
        <v>26</v>
      </c>
      <c r="R134" s="4">
        <v>0</v>
      </c>
      <c r="S134" s="6">
        <v>0</v>
      </c>
      <c r="T134" s="6">
        <v>32</v>
      </c>
      <c r="U134" s="6">
        <v>76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442.96</v>
      </c>
      <c r="X134" s="6">
        <f>IF(ISERROR(VLOOKUP($U$134,'TAR FIN'!$A$1:$O$85,15,0)),0,VLOOKUP($U$134,'TAR FIN'!$A$1:$O$85,15,0))</f>
        <v>185.74</v>
      </c>
      <c r="Y134" s="6"/>
      <c r="Z134" s="6">
        <f ca="1">('TUSD BE'!$AM$20+'TUSD BF'!$AM$20+'TUSD CVA'!$AM$20)*1</f>
        <v>519.26043781347539</v>
      </c>
      <c r="AA134" s="6">
        <f>('TE BE'!$AB$11+'TE BF'!$AB$11+'TE CVA'!$AB$11)*1</f>
        <v>166.7634981586946</v>
      </c>
      <c r="AB134" s="6">
        <f>$K$134*$V$134</f>
        <v>0</v>
      </c>
      <c r="AC134" s="6">
        <f>$M$134*$W$134</f>
        <v>540199.46511999995</v>
      </c>
      <c r="AD134" s="6">
        <f>$O$134*$X$134</f>
        <v>226514.01628000001</v>
      </c>
      <c r="AE134" s="6">
        <f>$K$134*$Y$134</f>
        <v>0</v>
      </c>
      <c r="AF134" s="6">
        <f ca="1">$M$134*$Z$134</f>
        <v>633249.52764316509</v>
      </c>
      <c r="AG134" s="6">
        <f>$O$134*$AA$134</f>
        <v>203371.75480148755</v>
      </c>
    </row>
    <row r="135" spans="1:33" ht="11.25" customHeight="1" x14ac:dyDescent="0.3">
      <c r="A135" s="4" t="s">
        <v>27</v>
      </c>
      <c r="B135" s="4" t="s">
        <v>22</v>
      </c>
      <c r="C135" s="4" t="s">
        <v>23</v>
      </c>
      <c r="D135" s="4" t="s">
        <v>24</v>
      </c>
      <c r="E135" s="4" t="s">
        <v>24</v>
      </c>
      <c r="F135" s="4" t="s">
        <v>25</v>
      </c>
      <c r="G135" s="4" t="s">
        <v>25</v>
      </c>
      <c r="H135" s="4" t="s">
        <v>25</v>
      </c>
      <c r="I135" s="5">
        <v>44440</v>
      </c>
      <c r="J135" s="6">
        <v>0</v>
      </c>
      <c r="K135" s="6">
        <v>0</v>
      </c>
      <c r="L135" s="6">
        <v>-4.1749999999999998</v>
      </c>
      <c r="M135" s="6">
        <v>-4.1749999999999998</v>
      </c>
      <c r="N135" s="6">
        <v>-4.1749999999999998</v>
      </c>
      <c r="O135" s="6">
        <v>-4.1749999999999998</v>
      </c>
      <c r="P135" s="6">
        <v>0</v>
      </c>
      <c r="Q135" s="4" t="s">
        <v>26</v>
      </c>
      <c r="R135" s="4">
        <v>0</v>
      </c>
      <c r="S135" s="6">
        <v>0</v>
      </c>
      <c r="T135" s="6">
        <v>32</v>
      </c>
      <c r="U135" s="6">
        <v>76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442.96</v>
      </c>
      <c r="X135" s="6">
        <f>IF(ISERROR(VLOOKUP($U$135,'TAR FIN'!$A$1:$O$85,15,0)),0,VLOOKUP($U$135,'TAR FIN'!$A$1:$O$85,15,0))</f>
        <v>185.74</v>
      </c>
      <c r="Y135" s="6"/>
      <c r="Z135" s="6">
        <f ca="1">('TUSD BE'!$AM$20+'TUSD BF'!$AM$20+'TUSD CVA'!$AM$20)*1</f>
        <v>519.26043781347539</v>
      </c>
      <c r="AA135" s="6">
        <f>('TE BE'!$AB$11+'TE BF'!$AB$11+'TE CVA'!$AB$11)*1</f>
        <v>166.7634981586946</v>
      </c>
      <c r="AB135" s="6">
        <f>$K$135*$V$135</f>
        <v>0</v>
      </c>
      <c r="AC135" s="6">
        <f>$M$135*$W$135</f>
        <v>-1849.3579999999999</v>
      </c>
      <c r="AD135" s="6">
        <f>$O$135*$X$135</f>
        <v>-775.46450000000004</v>
      </c>
      <c r="AE135" s="6">
        <f>$K$135*$Y$135</f>
        <v>0</v>
      </c>
      <c r="AF135" s="6">
        <f ca="1">$M$135*$Z$135</f>
        <v>-2167.9123278712595</v>
      </c>
      <c r="AG135" s="6">
        <f>$O$135*$AA$135</f>
        <v>-696.23760481254999</v>
      </c>
    </row>
    <row r="136" spans="1:33" ht="11.25" customHeight="1" x14ac:dyDescent="0.3">
      <c r="A136" s="4" t="s">
        <v>28</v>
      </c>
      <c r="B136" s="4" t="s">
        <v>22</v>
      </c>
      <c r="C136" s="4" t="s">
        <v>23</v>
      </c>
      <c r="D136" s="4" t="s">
        <v>24</v>
      </c>
      <c r="E136" s="4" t="s">
        <v>24</v>
      </c>
      <c r="F136" s="4" t="s">
        <v>25</v>
      </c>
      <c r="G136" s="4" t="s">
        <v>25</v>
      </c>
      <c r="H136" s="4" t="s">
        <v>25</v>
      </c>
      <c r="I136" s="5">
        <v>44440</v>
      </c>
      <c r="J136" s="6">
        <v>0</v>
      </c>
      <c r="K136" s="6">
        <v>0</v>
      </c>
      <c r="L136" s="6">
        <v>9.0389999999999997</v>
      </c>
      <c r="M136" s="6">
        <v>9.0389999999999997</v>
      </c>
      <c r="N136" s="6">
        <v>9.0389999999999997</v>
      </c>
      <c r="O136" s="6">
        <v>9.0389999999999997</v>
      </c>
      <c r="P136" s="6">
        <v>45</v>
      </c>
      <c r="Q136" s="4" t="s">
        <v>26</v>
      </c>
      <c r="R136" s="4">
        <v>0</v>
      </c>
      <c r="S136" s="6">
        <v>0</v>
      </c>
      <c r="T136" s="6">
        <v>32</v>
      </c>
      <c r="U136" s="6">
        <v>76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442.96</v>
      </c>
      <c r="X136" s="6">
        <f>IF(ISERROR(VLOOKUP($U$136,'TAR FIN'!$A$1:$O$85,15,0)),0,VLOOKUP($U$136,'TAR FIN'!$A$1:$O$85,15,0))</f>
        <v>185.74</v>
      </c>
      <c r="Y136" s="6"/>
      <c r="Z136" s="6">
        <f ca="1">('TUSD BE'!$AM$20+'TUSD BF'!$AM$20+'TUSD CVA'!$AM$20)*1</f>
        <v>519.26043781347539</v>
      </c>
      <c r="AA136" s="6">
        <f>('TE BE'!$AB$11+'TE BF'!$AB$11+'TE CVA'!$AB$11)*1</f>
        <v>166.7634981586946</v>
      </c>
      <c r="AB136" s="6">
        <f>$K$136*$V$136</f>
        <v>0</v>
      </c>
      <c r="AC136" s="6">
        <f>$M$136*$W$136</f>
        <v>4003.9154399999998</v>
      </c>
      <c r="AD136" s="6">
        <f>$O$136*$X$136</f>
        <v>1678.9038600000001</v>
      </c>
      <c r="AE136" s="6">
        <f>$K$136*$Y$136</f>
        <v>0</v>
      </c>
      <c r="AF136" s="6">
        <f ca="1">$M$136*$Z$136</f>
        <v>4693.5950973960043</v>
      </c>
      <c r="AG136" s="6">
        <f>$O$136*$AA$136</f>
        <v>1507.3752598564404</v>
      </c>
    </row>
    <row r="137" spans="1:33" ht="11.25" customHeight="1" x14ac:dyDescent="0.3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24</v>
      </c>
      <c r="F137" s="4" t="s">
        <v>25</v>
      </c>
      <c r="G137" s="4" t="s">
        <v>25</v>
      </c>
      <c r="H137" s="4" t="s">
        <v>25</v>
      </c>
      <c r="I137" s="5">
        <v>44470</v>
      </c>
      <c r="J137" s="6">
        <v>0</v>
      </c>
      <c r="K137" s="6">
        <v>0</v>
      </c>
      <c r="L137" s="6">
        <v>1221.414</v>
      </c>
      <c r="M137" s="6">
        <v>1221.414</v>
      </c>
      <c r="N137" s="6">
        <v>1221.414</v>
      </c>
      <c r="O137" s="6">
        <v>1221.414</v>
      </c>
      <c r="P137" s="6">
        <v>8005</v>
      </c>
      <c r="Q137" s="4" t="s">
        <v>26</v>
      </c>
      <c r="R137" s="4">
        <v>0</v>
      </c>
      <c r="S137" s="6">
        <v>0</v>
      </c>
      <c r="T137" s="6">
        <v>32</v>
      </c>
      <c r="U137" s="6">
        <v>76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442.96</v>
      </c>
      <c r="X137" s="6">
        <f>IF(ISERROR(VLOOKUP($U$137,'TAR FIN'!$A$1:$O$85,15,0)),0,VLOOKUP($U$137,'TAR FIN'!$A$1:$O$85,15,0))</f>
        <v>185.74</v>
      </c>
      <c r="Y137" s="6"/>
      <c r="Z137" s="6">
        <f ca="1">('TUSD BE'!$AM$20+'TUSD BF'!$AM$20+'TUSD CVA'!$AM$20)*1</f>
        <v>519.26043781347539</v>
      </c>
      <c r="AA137" s="6">
        <f>('TE BE'!$AB$11+'TE BF'!$AB$11+'TE CVA'!$AB$11)*1</f>
        <v>166.7634981586946</v>
      </c>
      <c r="AB137" s="6">
        <f>$K$137*$V$137</f>
        <v>0</v>
      </c>
      <c r="AC137" s="6">
        <f>$M$137*$W$137</f>
        <v>541037.54544000002</v>
      </c>
      <c r="AD137" s="6">
        <f>$O$137*$X$137</f>
        <v>226865.43636000002</v>
      </c>
      <c r="AE137" s="6">
        <f>$K$137*$Y$137</f>
        <v>0</v>
      </c>
      <c r="AF137" s="6">
        <f ca="1">$M$137*$Z$137</f>
        <v>634231.96839150821</v>
      </c>
      <c r="AG137" s="6">
        <f>$O$137*$AA$137</f>
        <v>203687.27134000382</v>
      </c>
    </row>
    <row r="138" spans="1:33" ht="11.25" customHeight="1" x14ac:dyDescent="0.3">
      <c r="A138" s="4" t="s">
        <v>27</v>
      </c>
      <c r="B138" s="4" t="s">
        <v>22</v>
      </c>
      <c r="C138" s="4" t="s">
        <v>23</v>
      </c>
      <c r="D138" s="4" t="s">
        <v>24</v>
      </c>
      <c r="E138" s="4" t="s">
        <v>24</v>
      </c>
      <c r="F138" s="4" t="s">
        <v>25</v>
      </c>
      <c r="G138" s="4" t="s">
        <v>25</v>
      </c>
      <c r="H138" s="4" t="s">
        <v>25</v>
      </c>
      <c r="I138" s="5">
        <v>44470</v>
      </c>
      <c r="J138" s="6">
        <v>0</v>
      </c>
      <c r="K138" s="6">
        <v>0</v>
      </c>
      <c r="L138" s="6">
        <v>-11.824999999999999</v>
      </c>
      <c r="M138" s="6">
        <v>-11.824999999999999</v>
      </c>
      <c r="N138" s="6">
        <v>-11.824999999999999</v>
      </c>
      <c r="O138" s="6">
        <v>-11.824999999999999</v>
      </c>
      <c r="P138" s="6">
        <v>0</v>
      </c>
      <c r="Q138" s="4" t="s">
        <v>26</v>
      </c>
      <c r="R138" s="4">
        <v>0</v>
      </c>
      <c r="S138" s="6">
        <v>0</v>
      </c>
      <c r="T138" s="6">
        <v>32</v>
      </c>
      <c r="U138" s="6">
        <v>76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442.96</v>
      </c>
      <c r="X138" s="6">
        <f>IF(ISERROR(VLOOKUP($U$138,'TAR FIN'!$A$1:$O$85,15,0)),0,VLOOKUP($U$138,'TAR FIN'!$A$1:$O$85,15,0))</f>
        <v>185.74</v>
      </c>
      <c r="Y138" s="6"/>
      <c r="Z138" s="6">
        <f ca="1">('TUSD BE'!$AM$20+'TUSD BF'!$AM$20+'TUSD CVA'!$AM$20)*1</f>
        <v>519.26043781347539</v>
      </c>
      <c r="AA138" s="6">
        <f>('TE BE'!$AB$11+'TE BF'!$AB$11+'TE CVA'!$AB$11)*1</f>
        <v>166.7634981586946</v>
      </c>
      <c r="AB138" s="6">
        <f>$K$138*$V$138</f>
        <v>0</v>
      </c>
      <c r="AC138" s="6">
        <f>$M$138*$W$138</f>
        <v>-5238.0019999999995</v>
      </c>
      <c r="AD138" s="6">
        <f>$O$138*$X$138</f>
        <v>-2196.3755000000001</v>
      </c>
      <c r="AE138" s="6">
        <f>$K$138*$Y$138</f>
        <v>0</v>
      </c>
      <c r="AF138" s="6">
        <f ca="1">$M$138*$Z$138</f>
        <v>-6140.2546771443458</v>
      </c>
      <c r="AG138" s="6">
        <f>$O$138*$AA$138</f>
        <v>-1971.9783657265637</v>
      </c>
    </row>
    <row r="139" spans="1:33" ht="11.25" customHeight="1" x14ac:dyDescent="0.3">
      <c r="A139" s="4" t="s">
        <v>28</v>
      </c>
      <c r="B139" s="4" t="s">
        <v>22</v>
      </c>
      <c r="C139" s="4" t="s">
        <v>23</v>
      </c>
      <c r="D139" s="4" t="s">
        <v>24</v>
      </c>
      <c r="E139" s="4" t="s">
        <v>24</v>
      </c>
      <c r="F139" s="4" t="s">
        <v>25</v>
      </c>
      <c r="G139" s="4" t="s">
        <v>25</v>
      </c>
      <c r="H139" s="4" t="s">
        <v>25</v>
      </c>
      <c r="I139" s="5">
        <v>44470</v>
      </c>
      <c r="J139" s="6">
        <v>0</v>
      </c>
      <c r="K139" s="6">
        <v>0</v>
      </c>
      <c r="L139" s="6">
        <v>10.726000000000001</v>
      </c>
      <c r="M139" s="6">
        <v>10.726000000000001</v>
      </c>
      <c r="N139" s="6">
        <v>10.726000000000001</v>
      </c>
      <c r="O139" s="6">
        <v>10.726000000000001</v>
      </c>
      <c r="P139" s="6">
        <v>48</v>
      </c>
      <c r="Q139" s="4" t="s">
        <v>26</v>
      </c>
      <c r="R139" s="4">
        <v>0</v>
      </c>
      <c r="S139" s="6">
        <v>0</v>
      </c>
      <c r="T139" s="6">
        <v>32</v>
      </c>
      <c r="U139" s="6">
        <v>76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442.96</v>
      </c>
      <c r="X139" s="6">
        <f>IF(ISERROR(VLOOKUP($U$139,'TAR FIN'!$A$1:$O$85,15,0)),0,VLOOKUP($U$139,'TAR FIN'!$A$1:$O$85,15,0))</f>
        <v>185.74</v>
      </c>
      <c r="Y139" s="6"/>
      <c r="Z139" s="6">
        <f ca="1">('TUSD BE'!$AM$20+'TUSD BF'!$AM$20+'TUSD CVA'!$AM$20)*1</f>
        <v>519.26043781347539</v>
      </c>
      <c r="AA139" s="6">
        <f>('TE BE'!$AB$11+'TE BF'!$AB$11+'TE CVA'!$AB$11)*1</f>
        <v>166.7634981586946</v>
      </c>
      <c r="AB139" s="6">
        <f>$K$139*$V$139</f>
        <v>0</v>
      </c>
      <c r="AC139" s="6">
        <f>$M$139*$W$139</f>
        <v>4751.1889600000004</v>
      </c>
      <c r="AD139" s="6">
        <f>$O$139*$X$139</f>
        <v>1992.2472400000001</v>
      </c>
      <c r="AE139" s="6">
        <f>$K$139*$Y$139</f>
        <v>0</v>
      </c>
      <c r="AF139" s="6">
        <f ca="1">$M$139*$Z$139</f>
        <v>5569.5874559873373</v>
      </c>
      <c r="AG139" s="6">
        <f>$O$139*$AA$139</f>
        <v>1788.7052812501584</v>
      </c>
    </row>
    <row r="140" spans="1:33" ht="11.25" customHeight="1" x14ac:dyDescent="0.3">
      <c r="A140" s="4" t="s">
        <v>28</v>
      </c>
      <c r="B140" s="4" t="s">
        <v>22</v>
      </c>
      <c r="C140" s="4" t="s">
        <v>23</v>
      </c>
      <c r="D140" s="4" t="s">
        <v>24</v>
      </c>
      <c r="E140" s="4" t="s">
        <v>24</v>
      </c>
      <c r="F140" s="4" t="s">
        <v>25</v>
      </c>
      <c r="G140" s="4" t="s">
        <v>25</v>
      </c>
      <c r="H140" s="4" t="s">
        <v>25</v>
      </c>
      <c r="I140" s="5">
        <v>44470</v>
      </c>
      <c r="J140" s="6">
        <v>0</v>
      </c>
      <c r="K140" s="6">
        <v>0</v>
      </c>
      <c r="L140" s="6">
        <v>-0.129</v>
      </c>
      <c r="M140" s="6">
        <v>-0.129</v>
      </c>
      <c r="N140" s="6">
        <v>-0.129</v>
      </c>
      <c r="O140" s="6">
        <v>-0.129</v>
      </c>
      <c r="P140" s="6">
        <v>2</v>
      </c>
      <c r="Q140" s="4" t="s">
        <v>26</v>
      </c>
      <c r="R140" s="4">
        <v>0</v>
      </c>
      <c r="S140" s="6">
        <v>0</v>
      </c>
      <c r="T140" s="6">
        <v>32</v>
      </c>
      <c r="U140" s="6">
        <v>76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442.96</v>
      </c>
      <c r="X140" s="6">
        <f>IF(ISERROR(VLOOKUP($U$140,'TAR FIN'!$A$1:$O$85,15,0)),0,VLOOKUP($U$140,'TAR FIN'!$A$1:$O$85,15,0))</f>
        <v>185.74</v>
      </c>
      <c r="Y140" s="6"/>
      <c r="Z140" s="6">
        <f ca="1">('TUSD BE'!$AM$20+'TUSD BF'!$AM$20+'TUSD CVA'!$AM$20)*1</f>
        <v>519.26043781347539</v>
      </c>
      <c r="AA140" s="6">
        <f>('TE BE'!$AB$11+'TE BF'!$AB$11+'TE CVA'!$AB$11)*1</f>
        <v>166.7634981586946</v>
      </c>
      <c r="AB140" s="6">
        <f>$K$140*$V$140</f>
        <v>0</v>
      </c>
      <c r="AC140" s="6">
        <f>$M$140*$W$140</f>
        <v>-57.141840000000002</v>
      </c>
      <c r="AD140" s="6">
        <f>$O$140*$X$140</f>
        <v>-23.960460000000001</v>
      </c>
      <c r="AE140" s="6">
        <f>$K$140*$Y$140</f>
        <v>0</v>
      </c>
      <c r="AF140" s="6">
        <f ca="1">$M$140*$Z$140</f>
        <v>-66.984596477938325</v>
      </c>
      <c r="AG140" s="6">
        <f>$O$140*$AA$140</f>
        <v>-21.512491262471606</v>
      </c>
    </row>
    <row r="141" spans="1:33" ht="11.25" customHeight="1" x14ac:dyDescent="0.3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24</v>
      </c>
      <c r="F141" s="4" t="s">
        <v>25</v>
      </c>
      <c r="G141" s="4" t="s">
        <v>25</v>
      </c>
      <c r="H141" s="4" t="s">
        <v>25</v>
      </c>
      <c r="I141" s="5">
        <v>44501</v>
      </c>
      <c r="J141" s="6">
        <v>0</v>
      </c>
      <c r="K141" s="6">
        <v>0</v>
      </c>
      <c r="L141" s="6">
        <v>1202.6389999999999</v>
      </c>
      <c r="M141" s="6">
        <v>1202.6389999999999</v>
      </c>
      <c r="N141" s="6">
        <v>1202.6389999999999</v>
      </c>
      <c r="O141" s="6">
        <v>1202.6389999999999</v>
      </c>
      <c r="P141" s="6">
        <v>8057</v>
      </c>
      <c r="Q141" s="4" t="s">
        <v>26</v>
      </c>
      <c r="R141" s="4">
        <v>0</v>
      </c>
      <c r="S141" s="6">
        <v>0</v>
      </c>
      <c r="T141" s="6">
        <v>32</v>
      </c>
      <c r="U141" s="6">
        <v>76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442.96</v>
      </c>
      <c r="X141" s="6">
        <f>IF(ISERROR(VLOOKUP($U$141,'TAR FIN'!$A$1:$O$85,15,0)),0,VLOOKUP($U$141,'TAR FIN'!$A$1:$O$85,15,0))</f>
        <v>185.74</v>
      </c>
      <c r="Y141" s="6"/>
      <c r="Z141" s="6">
        <f ca="1">('TUSD BE'!$AM$20+'TUSD BF'!$AM$20+'TUSD CVA'!$AM$20)*1</f>
        <v>519.26043781347539</v>
      </c>
      <c r="AA141" s="6">
        <f>('TE BE'!$AB$11+'TE BF'!$AB$11+'TE CVA'!$AB$11)*1</f>
        <v>166.7634981586946</v>
      </c>
      <c r="AB141" s="6">
        <f>$K$141*$V$141</f>
        <v>0</v>
      </c>
      <c r="AC141" s="6">
        <f>$M$141*$W$141</f>
        <v>532720.97143999988</v>
      </c>
      <c r="AD141" s="6">
        <f>$O$141*$X$141</f>
        <v>223378.16785999999</v>
      </c>
      <c r="AE141" s="6">
        <f>$K$141*$Y$141</f>
        <v>0</v>
      </c>
      <c r="AF141" s="6">
        <f ca="1">$M$141*$Z$141</f>
        <v>624482.85367156018</v>
      </c>
      <c r="AG141" s="6">
        <f>$O$141*$AA$141</f>
        <v>200556.2866620743</v>
      </c>
    </row>
    <row r="142" spans="1:33" ht="11.25" customHeight="1" x14ac:dyDescent="0.3">
      <c r="A142" s="4" t="s">
        <v>27</v>
      </c>
      <c r="B142" s="4" t="s">
        <v>22</v>
      </c>
      <c r="C142" s="4" t="s">
        <v>23</v>
      </c>
      <c r="D142" s="4" t="s">
        <v>24</v>
      </c>
      <c r="E142" s="4" t="s">
        <v>24</v>
      </c>
      <c r="F142" s="4" t="s">
        <v>25</v>
      </c>
      <c r="G142" s="4" t="s">
        <v>25</v>
      </c>
      <c r="H142" s="4" t="s">
        <v>25</v>
      </c>
      <c r="I142" s="5">
        <v>44501</v>
      </c>
      <c r="J142" s="6">
        <v>0</v>
      </c>
      <c r="K142" s="6">
        <v>0</v>
      </c>
      <c r="L142" s="6">
        <v>-2.8410000000000002</v>
      </c>
      <c r="M142" s="6">
        <v>-2.8410000000000002</v>
      </c>
      <c r="N142" s="6">
        <v>-2.8410000000000002</v>
      </c>
      <c r="O142" s="6">
        <v>-2.8410000000000002</v>
      </c>
      <c r="P142" s="6">
        <v>0</v>
      </c>
      <c r="Q142" s="4" t="s">
        <v>26</v>
      </c>
      <c r="R142" s="4">
        <v>0</v>
      </c>
      <c r="S142" s="6">
        <v>0</v>
      </c>
      <c r="T142" s="6">
        <v>32</v>
      </c>
      <c r="U142" s="6">
        <v>76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442.96</v>
      </c>
      <c r="X142" s="6">
        <f>IF(ISERROR(VLOOKUP($U$142,'TAR FIN'!$A$1:$O$85,15,0)),0,VLOOKUP($U$142,'TAR FIN'!$A$1:$O$85,15,0))</f>
        <v>185.74</v>
      </c>
      <c r="Y142" s="6"/>
      <c r="Z142" s="6">
        <f ca="1">('TUSD BE'!$AM$20+'TUSD BF'!$AM$20+'TUSD CVA'!$AM$20)*1</f>
        <v>519.26043781347539</v>
      </c>
      <c r="AA142" s="6">
        <f>('TE BE'!$AB$11+'TE BF'!$AB$11+'TE CVA'!$AB$11)*1</f>
        <v>166.7634981586946</v>
      </c>
      <c r="AB142" s="6">
        <f>$K$142*$V$142</f>
        <v>0</v>
      </c>
      <c r="AC142" s="6">
        <f>$M$142*$W$142</f>
        <v>-1258.4493600000001</v>
      </c>
      <c r="AD142" s="6">
        <f>$O$142*$X$142</f>
        <v>-527.68734000000006</v>
      </c>
      <c r="AE142" s="6">
        <f>$K$142*$Y$142</f>
        <v>0</v>
      </c>
      <c r="AF142" s="6">
        <f ca="1">$M$142*$Z$142</f>
        <v>-1475.2189038280837</v>
      </c>
      <c r="AG142" s="6">
        <f>$O$142*$AA$142</f>
        <v>-473.77509826885142</v>
      </c>
    </row>
    <row r="143" spans="1:33" ht="11.25" customHeight="1" x14ac:dyDescent="0.3">
      <c r="A143" s="4" t="s">
        <v>28</v>
      </c>
      <c r="B143" s="4" t="s">
        <v>22</v>
      </c>
      <c r="C143" s="4" t="s">
        <v>23</v>
      </c>
      <c r="D143" s="4" t="s">
        <v>24</v>
      </c>
      <c r="E143" s="4" t="s">
        <v>24</v>
      </c>
      <c r="F143" s="4" t="s">
        <v>25</v>
      </c>
      <c r="G143" s="4" t="s">
        <v>25</v>
      </c>
      <c r="H143" s="4" t="s">
        <v>25</v>
      </c>
      <c r="I143" s="5">
        <v>44501</v>
      </c>
      <c r="J143" s="6">
        <v>0</v>
      </c>
      <c r="K143" s="6">
        <v>0</v>
      </c>
      <c r="L143" s="6">
        <v>8.9350000000000005</v>
      </c>
      <c r="M143" s="6">
        <v>8.9350000000000005</v>
      </c>
      <c r="N143" s="6">
        <v>8.9350000000000005</v>
      </c>
      <c r="O143" s="6">
        <v>8.9350000000000005</v>
      </c>
      <c r="P143" s="6">
        <v>51</v>
      </c>
      <c r="Q143" s="4" t="s">
        <v>26</v>
      </c>
      <c r="R143" s="4">
        <v>0</v>
      </c>
      <c r="S143" s="6">
        <v>0</v>
      </c>
      <c r="T143" s="6">
        <v>32</v>
      </c>
      <c r="U143" s="6">
        <v>76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442.96</v>
      </c>
      <c r="X143" s="6">
        <f>IF(ISERROR(VLOOKUP($U$143,'TAR FIN'!$A$1:$O$85,15,0)),0,VLOOKUP($U$143,'TAR FIN'!$A$1:$O$85,15,0))</f>
        <v>185.74</v>
      </c>
      <c r="Y143" s="6"/>
      <c r="Z143" s="6">
        <f ca="1">('TUSD BE'!$AM$20+'TUSD BF'!$AM$20+'TUSD CVA'!$AM$20)*1</f>
        <v>519.26043781347539</v>
      </c>
      <c r="AA143" s="6">
        <f>('TE BE'!$AB$11+'TE BF'!$AB$11+'TE CVA'!$AB$11)*1</f>
        <v>166.7634981586946</v>
      </c>
      <c r="AB143" s="6">
        <f>$K$143*$V$143</f>
        <v>0</v>
      </c>
      <c r="AC143" s="6">
        <f>$M$143*$W$143</f>
        <v>3957.8476000000001</v>
      </c>
      <c r="AD143" s="6">
        <f>$O$143*$X$143</f>
        <v>1659.5869000000002</v>
      </c>
      <c r="AE143" s="6">
        <f>$K$143*$Y$143</f>
        <v>0</v>
      </c>
      <c r="AF143" s="6">
        <f ca="1">$M$143*$Z$143</f>
        <v>4639.5920118634031</v>
      </c>
      <c r="AG143" s="6">
        <f>$O$143*$AA$143</f>
        <v>1490.0318560479363</v>
      </c>
    </row>
    <row r="144" spans="1:33" ht="11.25" customHeight="1" x14ac:dyDescent="0.3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24</v>
      </c>
      <c r="F144" s="4" t="s">
        <v>25</v>
      </c>
      <c r="G144" s="4" t="s">
        <v>25</v>
      </c>
      <c r="H144" s="4" t="s">
        <v>25</v>
      </c>
      <c r="I144" s="5">
        <v>44531</v>
      </c>
      <c r="J144" s="6">
        <v>0</v>
      </c>
      <c r="K144" s="6">
        <v>0</v>
      </c>
      <c r="L144" s="6">
        <v>1188.22</v>
      </c>
      <c r="M144" s="6">
        <v>1188.22</v>
      </c>
      <c r="N144" s="6">
        <v>1188.22</v>
      </c>
      <c r="O144" s="6">
        <v>1188.22</v>
      </c>
      <c r="P144" s="6">
        <v>8096</v>
      </c>
      <c r="Q144" s="4" t="s">
        <v>26</v>
      </c>
      <c r="R144" s="4">
        <v>0</v>
      </c>
      <c r="S144" s="6">
        <v>0</v>
      </c>
      <c r="T144" s="6">
        <v>32</v>
      </c>
      <c r="U144" s="6">
        <v>76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442.96</v>
      </c>
      <c r="X144" s="6">
        <f>IF(ISERROR(VLOOKUP($U$144,'TAR FIN'!$A$1:$O$85,15,0)),0,VLOOKUP($U$144,'TAR FIN'!$A$1:$O$85,15,0))</f>
        <v>185.74</v>
      </c>
      <c r="Y144" s="6"/>
      <c r="Z144" s="6">
        <f ca="1">('TUSD BE'!$AM$20+'TUSD BF'!$AM$20+'TUSD CVA'!$AM$20)*1</f>
        <v>519.26043781347539</v>
      </c>
      <c r="AA144" s="6">
        <f>('TE BE'!$AB$11+'TE BF'!$AB$11+'TE CVA'!$AB$11)*1</f>
        <v>166.7634981586946</v>
      </c>
      <c r="AB144" s="6">
        <f>$K$144*$V$144</f>
        <v>0</v>
      </c>
      <c r="AC144" s="6">
        <f>$M$144*$W$144</f>
        <v>526333.93119999999</v>
      </c>
      <c r="AD144" s="6">
        <f>$O$144*$X$144</f>
        <v>220699.98280000003</v>
      </c>
      <c r="AE144" s="6">
        <f>$K$144*$Y$144</f>
        <v>0</v>
      </c>
      <c r="AF144" s="6">
        <f ca="1">$M$144*$Z$144</f>
        <v>616995.63741872774</v>
      </c>
      <c r="AG144" s="6">
        <f>$O$144*$AA$144</f>
        <v>198151.72378212411</v>
      </c>
    </row>
    <row r="145" spans="1:33" ht="11.25" customHeight="1" x14ac:dyDescent="0.3">
      <c r="A145" s="4" t="s">
        <v>27</v>
      </c>
      <c r="B145" s="4" t="s">
        <v>22</v>
      </c>
      <c r="C145" s="4" t="s">
        <v>23</v>
      </c>
      <c r="D145" s="4" t="s">
        <v>24</v>
      </c>
      <c r="E145" s="4" t="s">
        <v>24</v>
      </c>
      <c r="F145" s="4" t="s">
        <v>25</v>
      </c>
      <c r="G145" s="4" t="s">
        <v>25</v>
      </c>
      <c r="H145" s="4" t="s">
        <v>25</v>
      </c>
      <c r="I145" s="5">
        <v>44531</v>
      </c>
      <c r="J145" s="6">
        <v>0</v>
      </c>
      <c r="K145" s="6">
        <v>0</v>
      </c>
      <c r="L145" s="6">
        <v>-7.8010000000000002</v>
      </c>
      <c r="M145" s="6">
        <v>-7.8010000000000002</v>
      </c>
      <c r="N145" s="6">
        <v>-7.8010000000000002</v>
      </c>
      <c r="O145" s="6">
        <v>-7.8010000000000002</v>
      </c>
      <c r="P145" s="6">
        <v>0</v>
      </c>
      <c r="Q145" s="4" t="s">
        <v>26</v>
      </c>
      <c r="R145" s="4">
        <v>0</v>
      </c>
      <c r="S145" s="6">
        <v>0</v>
      </c>
      <c r="T145" s="6">
        <v>32</v>
      </c>
      <c r="U145" s="6">
        <v>76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442.96</v>
      </c>
      <c r="X145" s="6">
        <f>IF(ISERROR(VLOOKUP($U$145,'TAR FIN'!$A$1:$O$85,15,0)),0,VLOOKUP($U$145,'TAR FIN'!$A$1:$O$85,15,0))</f>
        <v>185.74</v>
      </c>
      <c r="Y145" s="6"/>
      <c r="Z145" s="6">
        <f ca="1">('TUSD BE'!$AM$20+'TUSD BF'!$AM$20+'TUSD CVA'!$AM$20)*1</f>
        <v>519.26043781347539</v>
      </c>
      <c r="AA145" s="6">
        <f>('TE BE'!$AB$11+'TE BF'!$AB$11+'TE CVA'!$AB$11)*1</f>
        <v>166.7634981586946</v>
      </c>
      <c r="AB145" s="6">
        <f>$K$145*$V$145</f>
        <v>0</v>
      </c>
      <c r="AC145" s="6">
        <f>$M$145*$W$145</f>
        <v>-3455.5309600000001</v>
      </c>
      <c r="AD145" s="6">
        <f>$O$145*$X$145</f>
        <v>-1448.9577400000001</v>
      </c>
      <c r="AE145" s="6">
        <f>$K$145*$Y$145</f>
        <v>0</v>
      </c>
      <c r="AF145" s="6">
        <f ca="1">$M$145*$Z$145</f>
        <v>-4050.7506753829216</v>
      </c>
      <c r="AG145" s="6">
        <f>$O$145*$AA$145</f>
        <v>-1300.9220491359765</v>
      </c>
    </row>
    <row r="146" spans="1:33" ht="11.25" customHeight="1" x14ac:dyDescent="0.3">
      <c r="A146" s="4" t="s">
        <v>28</v>
      </c>
      <c r="B146" s="4" t="s">
        <v>22</v>
      </c>
      <c r="C146" s="4" t="s">
        <v>23</v>
      </c>
      <c r="D146" s="4" t="s">
        <v>24</v>
      </c>
      <c r="E146" s="4" t="s">
        <v>24</v>
      </c>
      <c r="F146" s="4" t="s">
        <v>25</v>
      </c>
      <c r="G146" s="4" t="s">
        <v>25</v>
      </c>
      <c r="H146" s="4" t="s">
        <v>25</v>
      </c>
      <c r="I146" s="5">
        <v>44531</v>
      </c>
      <c r="J146" s="6">
        <v>0</v>
      </c>
      <c r="K146" s="6">
        <v>0</v>
      </c>
      <c r="L146" s="6">
        <v>7.101</v>
      </c>
      <c r="M146" s="6">
        <v>7.101</v>
      </c>
      <c r="N146" s="6">
        <v>7.101</v>
      </c>
      <c r="O146" s="6">
        <v>7.101</v>
      </c>
      <c r="P146" s="6">
        <v>58</v>
      </c>
      <c r="Q146" s="4" t="s">
        <v>26</v>
      </c>
      <c r="R146" s="4">
        <v>0</v>
      </c>
      <c r="S146" s="6">
        <v>0</v>
      </c>
      <c r="T146" s="6">
        <v>32</v>
      </c>
      <c r="U146" s="6">
        <v>76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442.96</v>
      </c>
      <c r="X146" s="6">
        <f>IF(ISERROR(VLOOKUP($U$146,'TAR FIN'!$A$1:$O$85,15,0)),0,VLOOKUP($U$146,'TAR FIN'!$A$1:$O$85,15,0))</f>
        <v>185.74</v>
      </c>
      <c r="Y146" s="6"/>
      <c r="Z146" s="6">
        <f ca="1">('TUSD BE'!$AM$20+'TUSD BF'!$AM$20+'TUSD CVA'!$AM$20)*1</f>
        <v>519.26043781347539</v>
      </c>
      <c r="AA146" s="6">
        <f>('TE BE'!$AB$11+'TE BF'!$AB$11+'TE CVA'!$AB$11)*1</f>
        <v>166.7634981586946</v>
      </c>
      <c r="AB146" s="6">
        <f>$K$146*$V$146</f>
        <v>0</v>
      </c>
      <c r="AC146" s="6">
        <f>$M$146*$W$146</f>
        <v>3145.4589599999999</v>
      </c>
      <c r="AD146" s="6">
        <f>$O$146*$X$146</f>
        <v>1318.93974</v>
      </c>
      <c r="AE146" s="6">
        <f>$K$146*$Y$146</f>
        <v>0</v>
      </c>
      <c r="AF146" s="6">
        <f ca="1">$M$146*$Z$146</f>
        <v>3687.2683689134888</v>
      </c>
      <c r="AG146" s="6">
        <f>$O$146*$AA$146</f>
        <v>1184.1876004248904</v>
      </c>
    </row>
    <row r="147" spans="1:33" ht="11.25" customHeight="1" x14ac:dyDescent="0.3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24</v>
      </c>
      <c r="F147" s="4" t="s">
        <v>25</v>
      </c>
      <c r="G147" s="4" t="s">
        <v>25</v>
      </c>
      <c r="H147" s="4" t="s">
        <v>25</v>
      </c>
      <c r="I147" s="5">
        <v>44562</v>
      </c>
      <c r="J147" s="6">
        <v>0</v>
      </c>
      <c r="K147" s="6">
        <v>0</v>
      </c>
      <c r="L147" s="6">
        <v>1529.3979999999999</v>
      </c>
      <c r="M147" s="6">
        <v>1529.3979999999999</v>
      </c>
      <c r="N147" s="6">
        <v>1529.3979999999999</v>
      </c>
      <c r="O147" s="6">
        <v>1529.3979999999999</v>
      </c>
      <c r="P147" s="6">
        <v>8125</v>
      </c>
      <c r="Q147" s="4" t="s">
        <v>26</v>
      </c>
      <c r="R147" s="4">
        <v>0</v>
      </c>
      <c r="S147" s="6">
        <v>0</v>
      </c>
      <c r="T147" s="6">
        <v>32</v>
      </c>
      <c r="U147" s="6">
        <v>76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442.96</v>
      </c>
      <c r="X147" s="6">
        <f>IF(ISERROR(VLOOKUP($U$147,'TAR FIN'!$A$1:$O$85,15,0)),0,VLOOKUP($U$147,'TAR FIN'!$A$1:$O$85,15,0))</f>
        <v>185.74</v>
      </c>
      <c r="Y147" s="6"/>
      <c r="Z147" s="6">
        <f ca="1">('TUSD BE'!$AM$20+'TUSD BF'!$AM$20+'TUSD CVA'!$AM$20)*1</f>
        <v>519.26043781347539</v>
      </c>
      <c r="AA147" s="6">
        <f>('TE BE'!$AB$11+'TE BF'!$AB$11+'TE CVA'!$AB$11)*1</f>
        <v>166.7634981586946</v>
      </c>
      <c r="AB147" s="6">
        <f>$K$147*$V$147</f>
        <v>0</v>
      </c>
      <c r="AC147" s="6">
        <f>$M$147*$W$147</f>
        <v>677462.13807999995</v>
      </c>
      <c r="AD147" s="6">
        <f>$O$147*$X$147</f>
        <v>284070.38452000002</v>
      </c>
      <c r="AE147" s="6">
        <f>$K$147*$Y$147</f>
        <v>0</v>
      </c>
      <c r="AF147" s="6">
        <f ca="1">$M$147*$Z$147</f>
        <v>794155.87507105363</v>
      </c>
      <c r="AG147" s="6">
        <f>$O$147*$AA$147</f>
        <v>255047.76055691121</v>
      </c>
    </row>
    <row r="148" spans="1:33" ht="11.25" customHeight="1" x14ac:dyDescent="0.3">
      <c r="A148" s="4" t="s">
        <v>27</v>
      </c>
      <c r="B148" s="4" t="s">
        <v>22</v>
      </c>
      <c r="C148" s="4" t="s">
        <v>23</v>
      </c>
      <c r="D148" s="4" t="s">
        <v>24</v>
      </c>
      <c r="E148" s="4" t="s">
        <v>24</v>
      </c>
      <c r="F148" s="4" t="s">
        <v>25</v>
      </c>
      <c r="G148" s="4" t="s">
        <v>25</v>
      </c>
      <c r="H148" s="4" t="s">
        <v>25</v>
      </c>
      <c r="I148" s="5">
        <v>44562</v>
      </c>
      <c r="J148" s="6">
        <v>0</v>
      </c>
      <c r="K148" s="6">
        <v>0</v>
      </c>
      <c r="L148" s="6">
        <v>-3.8340000000000001</v>
      </c>
      <c r="M148" s="6">
        <v>-3.8340000000000001</v>
      </c>
      <c r="N148" s="6">
        <v>-3.8340000000000001</v>
      </c>
      <c r="O148" s="6">
        <v>-3.8340000000000001</v>
      </c>
      <c r="P148" s="6">
        <v>0</v>
      </c>
      <c r="Q148" s="4" t="s">
        <v>26</v>
      </c>
      <c r="R148" s="4">
        <v>0</v>
      </c>
      <c r="S148" s="6">
        <v>0</v>
      </c>
      <c r="T148" s="6">
        <v>32</v>
      </c>
      <c r="U148" s="6">
        <v>76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442.96</v>
      </c>
      <c r="X148" s="6">
        <f>IF(ISERROR(VLOOKUP($U$148,'TAR FIN'!$A$1:$O$85,15,0)),0,VLOOKUP($U$148,'TAR FIN'!$A$1:$O$85,15,0))</f>
        <v>185.74</v>
      </c>
      <c r="Y148" s="6"/>
      <c r="Z148" s="6">
        <f ca="1">('TUSD BE'!$AM$20+'TUSD BF'!$AM$20+'TUSD CVA'!$AM$20)*1</f>
        <v>519.26043781347539</v>
      </c>
      <c r="AA148" s="6">
        <f>('TE BE'!$AB$11+'TE BF'!$AB$11+'TE CVA'!$AB$11)*1</f>
        <v>166.7634981586946</v>
      </c>
      <c r="AB148" s="6">
        <f>$K$148*$V$148</f>
        <v>0</v>
      </c>
      <c r="AC148" s="6">
        <f>$M$148*$W$148</f>
        <v>-1698.30864</v>
      </c>
      <c r="AD148" s="6">
        <f>$O$148*$X$148</f>
        <v>-712.12716</v>
      </c>
      <c r="AE148" s="6">
        <f>$K$148*$Y$148</f>
        <v>0</v>
      </c>
      <c r="AF148" s="6">
        <f ca="1">$M$148*$Z$148</f>
        <v>-1990.8445185768646</v>
      </c>
      <c r="AG148" s="6">
        <f>$O$148*$AA$148</f>
        <v>-639.37125194043517</v>
      </c>
    </row>
    <row r="149" spans="1:33" ht="11.25" customHeight="1" x14ac:dyDescent="0.3">
      <c r="A149" s="4" t="s">
        <v>28</v>
      </c>
      <c r="B149" s="4" t="s">
        <v>22</v>
      </c>
      <c r="C149" s="4" t="s">
        <v>23</v>
      </c>
      <c r="D149" s="4" t="s">
        <v>24</v>
      </c>
      <c r="E149" s="4" t="s">
        <v>24</v>
      </c>
      <c r="F149" s="4" t="s">
        <v>25</v>
      </c>
      <c r="G149" s="4" t="s">
        <v>25</v>
      </c>
      <c r="H149" s="4" t="s">
        <v>25</v>
      </c>
      <c r="I149" s="5">
        <v>44562</v>
      </c>
      <c r="J149" s="6">
        <v>0</v>
      </c>
      <c r="K149" s="6">
        <v>0</v>
      </c>
      <c r="L149" s="6">
        <v>6.8049999999999997</v>
      </c>
      <c r="M149" s="6">
        <v>6.8049999999999997</v>
      </c>
      <c r="N149" s="6">
        <v>6.8049999999999997</v>
      </c>
      <c r="O149" s="6">
        <v>6.8049999999999997</v>
      </c>
      <c r="P149" s="6">
        <v>60</v>
      </c>
      <c r="Q149" s="4" t="s">
        <v>26</v>
      </c>
      <c r="R149" s="4">
        <v>0</v>
      </c>
      <c r="S149" s="6">
        <v>0</v>
      </c>
      <c r="T149" s="6">
        <v>32</v>
      </c>
      <c r="U149" s="6">
        <v>76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442.96</v>
      </c>
      <c r="X149" s="6">
        <f>IF(ISERROR(VLOOKUP($U$149,'TAR FIN'!$A$1:$O$85,15,0)),0,VLOOKUP($U$149,'TAR FIN'!$A$1:$O$85,15,0))</f>
        <v>185.74</v>
      </c>
      <c r="Y149" s="6"/>
      <c r="Z149" s="6">
        <f ca="1">('TUSD BE'!$AM$20+'TUSD BF'!$AM$20+'TUSD CVA'!$AM$20)*1</f>
        <v>519.26043781347539</v>
      </c>
      <c r="AA149" s="6">
        <f>('TE BE'!$AB$11+'TE BF'!$AB$11+'TE CVA'!$AB$11)*1</f>
        <v>166.7634981586946</v>
      </c>
      <c r="AB149" s="6">
        <f>$K$149*$V$149</f>
        <v>0</v>
      </c>
      <c r="AC149" s="6">
        <f>$M$149*$W$149</f>
        <v>3014.3427999999999</v>
      </c>
      <c r="AD149" s="6">
        <f>$O$149*$X$149</f>
        <v>1263.9607000000001</v>
      </c>
      <c r="AE149" s="6">
        <f>$K$149*$Y$149</f>
        <v>0</v>
      </c>
      <c r="AF149" s="6">
        <f ca="1">$M$149*$Z$149</f>
        <v>3533.5672793207</v>
      </c>
      <c r="AG149" s="6">
        <f>$O$149*$AA$149</f>
        <v>1134.8256049699166</v>
      </c>
    </row>
    <row r="150" spans="1:33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24</v>
      </c>
      <c r="F150" s="4" t="s">
        <v>25</v>
      </c>
      <c r="G150" s="4" t="s">
        <v>25</v>
      </c>
      <c r="H150" s="4" t="s">
        <v>25</v>
      </c>
      <c r="I150" s="5">
        <v>44593</v>
      </c>
      <c r="J150" s="6">
        <v>0</v>
      </c>
      <c r="K150" s="6">
        <v>0</v>
      </c>
      <c r="L150" s="6">
        <v>1589.87</v>
      </c>
      <c r="M150" s="6">
        <v>1589.87</v>
      </c>
      <c r="N150" s="6">
        <v>1589.87</v>
      </c>
      <c r="O150" s="6">
        <v>1589.87</v>
      </c>
      <c r="P150" s="6">
        <v>8178</v>
      </c>
      <c r="Q150" s="4" t="s">
        <v>26</v>
      </c>
      <c r="R150" s="4">
        <v>0</v>
      </c>
      <c r="S150" s="6">
        <v>0</v>
      </c>
      <c r="T150" s="6">
        <v>32</v>
      </c>
      <c r="U150" s="6">
        <v>76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442.96</v>
      </c>
      <c r="X150" s="6">
        <f>IF(ISERROR(VLOOKUP($U$150,'TAR FIN'!$A$1:$O$85,15,0)),0,VLOOKUP($U$150,'TAR FIN'!$A$1:$O$85,15,0))</f>
        <v>185.74</v>
      </c>
      <c r="Y150" s="6"/>
      <c r="Z150" s="6">
        <f ca="1">('TUSD BE'!$AM$20+'TUSD BF'!$AM$20+'TUSD CVA'!$AM$20)*1</f>
        <v>519.26043781347539</v>
      </c>
      <c r="AA150" s="6">
        <f>('TE BE'!$AB$11+'TE BF'!$AB$11+'TE CVA'!$AB$11)*1</f>
        <v>166.7634981586946</v>
      </c>
      <c r="AB150" s="6">
        <f>$K$150*$V$150</f>
        <v>0</v>
      </c>
      <c r="AC150" s="6">
        <f>$M$150*$W$150</f>
        <v>704248.81519999995</v>
      </c>
      <c r="AD150" s="6">
        <f>$O$150*$X$150</f>
        <v>295302.45380000002</v>
      </c>
      <c r="AE150" s="6">
        <f>$K$150*$Y$150</f>
        <v>0</v>
      </c>
      <c r="AF150" s="6">
        <f ca="1">$M$150*$Z$150</f>
        <v>825556.59226651001</v>
      </c>
      <c r="AG150" s="6">
        <f>$O$150*$AA$150</f>
        <v>265132.28281756374</v>
      </c>
    </row>
    <row r="151" spans="1:33" ht="11.25" customHeight="1" x14ac:dyDescent="0.3">
      <c r="A151" s="4" t="s">
        <v>27</v>
      </c>
      <c r="B151" s="4" t="s">
        <v>22</v>
      </c>
      <c r="C151" s="4" t="s">
        <v>23</v>
      </c>
      <c r="D151" s="4" t="s">
        <v>24</v>
      </c>
      <c r="E151" s="4" t="s">
        <v>24</v>
      </c>
      <c r="F151" s="4" t="s">
        <v>25</v>
      </c>
      <c r="G151" s="4" t="s">
        <v>25</v>
      </c>
      <c r="H151" s="4" t="s">
        <v>25</v>
      </c>
      <c r="I151" s="5">
        <v>44593</v>
      </c>
      <c r="J151" s="6">
        <v>0</v>
      </c>
      <c r="K151" s="6">
        <v>0</v>
      </c>
      <c r="L151" s="6">
        <v>-21.033999999999999</v>
      </c>
      <c r="M151" s="6">
        <v>-21.033999999999999</v>
      </c>
      <c r="N151" s="6">
        <v>-21.033999999999999</v>
      </c>
      <c r="O151" s="6">
        <v>-21.033999999999999</v>
      </c>
      <c r="P151" s="6">
        <v>0</v>
      </c>
      <c r="Q151" s="4" t="s">
        <v>26</v>
      </c>
      <c r="R151" s="4">
        <v>0</v>
      </c>
      <c r="S151" s="6">
        <v>0</v>
      </c>
      <c r="T151" s="6">
        <v>32</v>
      </c>
      <c r="U151" s="6">
        <v>76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442.96</v>
      </c>
      <c r="X151" s="6">
        <f>IF(ISERROR(VLOOKUP($U$151,'TAR FIN'!$A$1:$O$85,15,0)),0,VLOOKUP($U$151,'TAR FIN'!$A$1:$O$85,15,0))</f>
        <v>185.74</v>
      </c>
      <c r="Y151" s="6"/>
      <c r="Z151" s="6">
        <f ca="1">('TUSD BE'!$AM$20+'TUSD BF'!$AM$20+'TUSD CVA'!$AM$20)*1</f>
        <v>519.26043781347539</v>
      </c>
      <c r="AA151" s="6">
        <f>('TE BE'!$AB$11+'TE BF'!$AB$11+'TE CVA'!$AB$11)*1</f>
        <v>166.7634981586946</v>
      </c>
      <c r="AB151" s="6">
        <f>$K$151*$V$151</f>
        <v>0</v>
      </c>
      <c r="AC151" s="6">
        <f>$M$151*$W$151</f>
        <v>-9317.2206399999995</v>
      </c>
      <c r="AD151" s="6">
        <f>$O$151*$X$151</f>
        <v>-3906.8551600000001</v>
      </c>
      <c r="AE151" s="6">
        <f>$K$151*$Y$151</f>
        <v>0</v>
      </c>
      <c r="AF151" s="6">
        <f ca="1">$M$151*$Z$151</f>
        <v>-10922.124048968641</v>
      </c>
      <c r="AG151" s="6">
        <f>$O$151*$AA$151</f>
        <v>-3507.703420269982</v>
      </c>
    </row>
    <row r="152" spans="1:33" ht="11.25" customHeight="1" x14ac:dyDescent="0.3">
      <c r="A152" s="4" t="s">
        <v>28</v>
      </c>
      <c r="B152" s="4" t="s">
        <v>22</v>
      </c>
      <c r="C152" s="4" t="s">
        <v>23</v>
      </c>
      <c r="D152" s="4" t="s">
        <v>24</v>
      </c>
      <c r="E152" s="4" t="s">
        <v>24</v>
      </c>
      <c r="F152" s="4" t="s">
        <v>25</v>
      </c>
      <c r="G152" s="4" t="s">
        <v>25</v>
      </c>
      <c r="H152" s="4" t="s">
        <v>25</v>
      </c>
      <c r="I152" s="5">
        <v>44593</v>
      </c>
      <c r="J152" s="6">
        <v>0</v>
      </c>
      <c r="K152" s="6">
        <v>0</v>
      </c>
      <c r="L152" s="6">
        <v>9.125</v>
      </c>
      <c r="M152" s="6">
        <v>9.125</v>
      </c>
      <c r="N152" s="6">
        <v>9.125</v>
      </c>
      <c r="O152" s="6">
        <v>9.125</v>
      </c>
      <c r="P152" s="6">
        <v>69</v>
      </c>
      <c r="Q152" s="4" t="s">
        <v>26</v>
      </c>
      <c r="R152" s="4">
        <v>0</v>
      </c>
      <c r="S152" s="6">
        <v>0</v>
      </c>
      <c r="T152" s="6">
        <v>32</v>
      </c>
      <c r="U152" s="6">
        <v>76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442.96</v>
      </c>
      <c r="X152" s="6">
        <f>IF(ISERROR(VLOOKUP($U$152,'TAR FIN'!$A$1:$O$85,15,0)),0,VLOOKUP($U$152,'TAR FIN'!$A$1:$O$85,15,0))</f>
        <v>185.74</v>
      </c>
      <c r="Y152" s="6"/>
      <c r="Z152" s="6">
        <f ca="1">('TUSD BE'!$AM$20+'TUSD BF'!$AM$20+'TUSD CVA'!$AM$20)*1</f>
        <v>519.26043781347539</v>
      </c>
      <c r="AA152" s="6">
        <f>('TE BE'!$AB$11+'TE BF'!$AB$11+'TE CVA'!$AB$11)*1</f>
        <v>166.7634981586946</v>
      </c>
      <c r="AB152" s="6">
        <f>$K$152*$V$152</f>
        <v>0</v>
      </c>
      <c r="AC152" s="6">
        <f>$M$152*$W$152</f>
        <v>4042.0099999999998</v>
      </c>
      <c r="AD152" s="6">
        <f>$O$152*$X$152</f>
        <v>1694.8775000000001</v>
      </c>
      <c r="AE152" s="6">
        <f>$K$152*$Y$152</f>
        <v>0</v>
      </c>
      <c r="AF152" s="6">
        <f ca="1">$M$152*$Z$152</f>
        <v>4738.2514950479626</v>
      </c>
      <c r="AG152" s="6">
        <f>$O$152*$AA$152</f>
        <v>1521.7169206980882</v>
      </c>
    </row>
    <row r="153" spans="1:33" ht="11.25" customHeight="1" x14ac:dyDescent="0.3">
      <c r="A153" s="4" t="s">
        <v>28</v>
      </c>
      <c r="B153" s="4" t="s">
        <v>22</v>
      </c>
      <c r="C153" s="4" t="s">
        <v>23</v>
      </c>
      <c r="D153" s="4" t="s">
        <v>24</v>
      </c>
      <c r="E153" s="4" t="s">
        <v>24</v>
      </c>
      <c r="F153" s="4" t="s">
        <v>25</v>
      </c>
      <c r="G153" s="4" t="s">
        <v>25</v>
      </c>
      <c r="H153" s="4" t="s">
        <v>25</v>
      </c>
      <c r="I153" s="5">
        <v>44593</v>
      </c>
      <c r="J153" s="6">
        <v>0</v>
      </c>
      <c r="K153" s="6">
        <v>0</v>
      </c>
      <c r="L153" s="6">
        <v>15.984</v>
      </c>
      <c r="M153" s="6">
        <v>15.984</v>
      </c>
      <c r="N153" s="6">
        <v>15.984</v>
      </c>
      <c r="O153" s="6">
        <v>15.984</v>
      </c>
      <c r="P153" s="6">
        <v>1</v>
      </c>
      <c r="Q153" s="4" t="s">
        <v>26</v>
      </c>
      <c r="R153" s="4">
        <v>0</v>
      </c>
      <c r="S153" s="6">
        <v>0</v>
      </c>
      <c r="T153" s="6">
        <v>32</v>
      </c>
      <c r="U153" s="6">
        <v>76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442.96</v>
      </c>
      <c r="X153" s="6">
        <f>IF(ISERROR(VLOOKUP($U$153,'TAR FIN'!$A$1:$O$85,15,0)),0,VLOOKUP($U$153,'TAR FIN'!$A$1:$O$85,15,0))</f>
        <v>185.74</v>
      </c>
      <c r="Y153" s="6"/>
      <c r="Z153" s="6">
        <f ca="1">('TUSD BE'!$AM$20+'TUSD BF'!$AM$20+'TUSD CVA'!$AM$20)*1</f>
        <v>519.26043781347539</v>
      </c>
      <c r="AA153" s="6">
        <f>('TE BE'!$AB$11+'TE BF'!$AB$11+'TE CVA'!$AB$11)*1</f>
        <v>166.7634981586946</v>
      </c>
      <c r="AB153" s="6">
        <f>$K$153*$V$153</f>
        <v>0</v>
      </c>
      <c r="AC153" s="6">
        <f>$M$153*$W$153</f>
        <v>7080.2726399999992</v>
      </c>
      <c r="AD153" s="6">
        <f>$O$153*$X$153</f>
        <v>2968.86816</v>
      </c>
      <c r="AE153" s="6">
        <f>$K$153*$Y$153</f>
        <v>0</v>
      </c>
      <c r="AF153" s="6">
        <f ca="1">$M$153*$Z$153</f>
        <v>8299.8588380105903</v>
      </c>
      <c r="AG153" s="6">
        <f>$O$153*$AA$153</f>
        <v>2665.5477545685744</v>
      </c>
    </row>
    <row r="154" spans="1:33" ht="11.25" customHeight="1" x14ac:dyDescent="0.3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24</v>
      </c>
      <c r="F154" s="4" t="s">
        <v>25</v>
      </c>
      <c r="G154" s="4" t="s">
        <v>25</v>
      </c>
      <c r="H154" s="4" t="s">
        <v>25</v>
      </c>
      <c r="I154" s="5">
        <v>44621</v>
      </c>
      <c r="J154" s="6">
        <v>0</v>
      </c>
      <c r="K154" s="6">
        <v>0</v>
      </c>
      <c r="L154" s="6">
        <v>1452.6479999999999</v>
      </c>
      <c r="M154" s="6">
        <v>1452.6479999999999</v>
      </c>
      <c r="N154" s="6">
        <v>1452.6479999999999</v>
      </c>
      <c r="O154" s="6">
        <v>1452.6479999999999</v>
      </c>
      <c r="P154" s="6">
        <v>8203</v>
      </c>
      <c r="Q154" s="4" t="s">
        <v>26</v>
      </c>
      <c r="R154" s="4">
        <v>0</v>
      </c>
      <c r="S154" s="6">
        <v>0</v>
      </c>
      <c r="T154" s="6">
        <v>32</v>
      </c>
      <c r="U154" s="6">
        <v>76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442.96</v>
      </c>
      <c r="X154" s="6">
        <f>IF(ISERROR(VLOOKUP($U$154,'TAR FIN'!$A$1:$O$85,15,0)),0,VLOOKUP($U$154,'TAR FIN'!$A$1:$O$85,15,0))</f>
        <v>185.74</v>
      </c>
      <c r="Y154" s="6"/>
      <c r="Z154" s="6">
        <f ca="1">('TUSD BE'!$AM$20+'TUSD BF'!$AM$20+'TUSD CVA'!$AM$20)*1</f>
        <v>519.26043781347539</v>
      </c>
      <c r="AA154" s="6">
        <f>('TE BE'!$AB$11+'TE BF'!$AB$11+'TE CVA'!$AB$11)*1</f>
        <v>166.7634981586946</v>
      </c>
      <c r="AB154" s="6">
        <f>$K$154*$V$154</f>
        <v>0</v>
      </c>
      <c r="AC154" s="6">
        <f>$M$154*$W$154</f>
        <v>643464.95807999989</v>
      </c>
      <c r="AD154" s="6">
        <f>$O$154*$X$154</f>
        <v>269814.83951999998</v>
      </c>
      <c r="AE154" s="6">
        <f>$K$154*$Y$154</f>
        <v>0</v>
      </c>
      <c r="AF154" s="6">
        <f ca="1">$M$154*$Z$154</f>
        <v>754302.6364688694</v>
      </c>
      <c r="AG154" s="6">
        <f>$O$154*$AA$154</f>
        <v>242248.66207323139</v>
      </c>
    </row>
    <row r="155" spans="1:33" ht="11.25" customHeight="1" x14ac:dyDescent="0.3">
      <c r="A155" s="4" t="s">
        <v>27</v>
      </c>
      <c r="B155" s="4" t="s">
        <v>22</v>
      </c>
      <c r="C155" s="4" t="s">
        <v>23</v>
      </c>
      <c r="D155" s="4" t="s">
        <v>24</v>
      </c>
      <c r="E155" s="4" t="s">
        <v>24</v>
      </c>
      <c r="F155" s="4" t="s">
        <v>25</v>
      </c>
      <c r="G155" s="4" t="s">
        <v>25</v>
      </c>
      <c r="H155" s="4" t="s">
        <v>25</v>
      </c>
      <c r="I155" s="5">
        <v>44621</v>
      </c>
      <c r="J155" s="6">
        <v>0</v>
      </c>
      <c r="K155" s="6">
        <v>0</v>
      </c>
      <c r="L155" s="6">
        <v>-3.2749999999999999</v>
      </c>
      <c r="M155" s="6">
        <v>-3.2749999999999999</v>
      </c>
      <c r="N155" s="6">
        <v>-3.2749999999999999</v>
      </c>
      <c r="O155" s="6">
        <v>-3.2749999999999999</v>
      </c>
      <c r="P155" s="6">
        <v>0</v>
      </c>
      <c r="Q155" s="4" t="s">
        <v>26</v>
      </c>
      <c r="R155" s="4">
        <v>0</v>
      </c>
      <c r="S155" s="6">
        <v>0</v>
      </c>
      <c r="T155" s="6">
        <v>32</v>
      </c>
      <c r="U155" s="6">
        <v>76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442.96</v>
      </c>
      <c r="X155" s="6">
        <f>IF(ISERROR(VLOOKUP($U$155,'TAR FIN'!$A$1:$O$85,15,0)),0,VLOOKUP($U$155,'TAR FIN'!$A$1:$O$85,15,0))</f>
        <v>185.74</v>
      </c>
      <c r="Y155" s="6"/>
      <c r="Z155" s="6">
        <f ca="1">('TUSD BE'!$AM$20+'TUSD BF'!$AM$20+'TUSD CVA'!$AM$20)*1</f>
        <v>519.26043781347539</v>
      </c>
      <c r="AA155" s="6">
        <f>('TE BE'!$AB$11+'TE BF'!$AB$11+'TE CVA'!$AB$11)*1</f>
        <v>166.7634981586946</v>
      </c>
      <c r="AB155" s="6">
        <f>$K$155*$V$155</f>
        <v>0</v>
      </c>
      <c r="AC155" s="6">
        <f>$M$155*$W$155</f>
        <v>-1450.694</v>
      </c>
      <c r="AD155" s="6">
        <f>$O$155*$X$155</f>
        <v>-608.29849999999999</v>
      </c>
      <c r="AE155" s="6">
        <f>$K$155*$Y$155</f>
        <v>0</v>
      </c>
      <c r="AF155" s="6">
        <f ca="1">$M$155*$Z$155</f>
        <v>-1700.5779338391319</v>
      </c>
      <c r="AG155" s="6">
        <f>$O$155*$AA$155</f>
        <v>-546.15045646972476</v>
      </c>
    </row>
    <row r="156" spans="1:33" ht="11.25" customHeight="1" x14ac:dyDescent="0.3">
      <c r="A156" s="4" t="s">
        <v>28</v>
      </c>
      <c r="B156" s="4" t="s">
        <v>22</v>
      </c>
      <c r="C156" s="4" t="s">
        <v>23</v>
      </c>
      <c r="D156" s="4" t="s">
        <v>24</v>
      </c>
      <c r="E156" s="4" t="s">
        <v>24</v>
      </c>
      <c r="F156" s="4" t="s">
        <v>25</v>
      </c>
      <c r="G156" s="4" t="s">
        <v>25</v>
      </c>
      <c r="H156" s="4" t="s">
        <v>25</v>
      </c>
      <c r="I156" s="5">
        <v>44621</v>
      </c>
      <c r="J156" s="6">
        <v>0</v>
      </c>
      <c r="K156" s="6">
        <v>0</v>
      </c>
      <c r="L156" s="6">
        <v>28.681999999999999</v>
      </c>
      <c r="M156" s="6">
        <v>28.681999999999999</v>
      </c>
      <c r="N156" s="6">
        <v>28.681999999999999</v>
      </c>
      <c r="O156" s="6">
        <v>28.681999999999999</v>
      </c>
      <c r="P156" s="6">
        <v>76</v>
      </c>
      <c r="Q156" s="4" t="s">
        <v>26</v>
      </c>
      <c r="R156" s="4">
        <v>0</v>
      </c>
      <c r="S156" s="6">
        <v>0</v>
      </c>
      <c r="T156" s="6">
        <v>32</v>
      </c>
      <c r="U156" s="6">
        <v>76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442.96</v>
      </c>
      <c r="X156" s="6">
        <f>IF(ISERROR(VLOOKUP($U$156,'TAR FIN'!$A$1:$O$85,15,0)),0,VLOOKUP($U$156,'TAR FIN'!$A$1:$O$85,15,0))</f>
        <v>185.74</v>
      </c>
      <c r="Y156" s="6"/>
      <c r="Z156" s="6">
        <f ca="1">('TUSD BE'!$AM$20+'TUSD BF'!$AM$20+'TUSD CVA'!$AM$20)*1</f>
        <v>519.26043781347539</v>
      </c>
      <c r="AA156" s="6">
        <f>('TE BE'!$AB$11+'TE BF'!$AB$11+'TE CVA'!$AB$11)*1</f>
        <v>166.7634981586946</v>
      </c>
      <c r="AB156" s="6">
        <f>$K$156*$V$156</f>
        <v>0</v>
      </c>
      <c r="AC156" s="6">
        <f>$M$156*$W$156</f>
        <v>12704.978719999999</v>
      </c>
      <c r="AD156" s="6">
        <f>$O$156*$X$156</f>
        <v>5327.3946800000003</v>
      </c>
      <c r="AE156" s="6">
        <f>$K$156*$Y$156</f>
        <v>0</v>
      </c>
      <c r="AF156" s="6">
        <f ca="1">$M$156*$Z$156</f>
        <v>14893.427877366101</v>
      </c>
      <c r="AG156" s="6">
        <f>$O$156*$AA$156</f>
        <v>4783.1106541876779</v>
      </c>
    </row>
    <row r="157" spans="1:33" ht="11.25" customHeight="1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24</v>
      </c>
      <c r="F157" s="4" t="s">
        <v>25</v>
      </c>
      <c r="G157" s="4" t="s">
        <v>25</v>
      </c>
      <c r="H157" s="4" t="s">
        <v>25</v>
      </c>
      <c r="I157" s="5">
        <v>44652</v>
      </c>
      <c r="J157" s="6">
        <v>0</v>
      </c>
      <c r="K157" s="6">
        <v>0</v>
      </c>
      <c r="L157" s="6">
        <v>1364.9770000000001</v>
      </c>
      <c r="M157" s="6">
        <v>1364.9770000000001</v>
      </c>
      <c r="N157" s="6">
        <v>1364.9770000000001</v>
      </c>
      <c r="O157" s="6">
        <v>1364.9770000000001</v>
      </c>
      <c r="P157" s="6">
        <v>8104</v>
      </c>
      <c r="Q157" s="4" t="s">
        <v>26</v>
      </c>
      <c r="R157" s="4">
        <v>0</v>
      </c>
      <c r="S157" s="6">
        <v>0</v>
      </c>
      <c r="T157" s="6">
        <v>32</v>
      </c>
      <c r="U157" s="6">
        <v>76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442.96</v>
      </c>
      <c r="X157" s="6">
        <f>IF(ISERROR(VLOOKUP($U$157,'TAR FIN'!$A$1:$O$85,15,0)),0,VLOOKUP($U$157,'TAR FIN'!$A$1:$O$85,15,0))</f>
        <v>185.74</v>
      </c>
      <c r="Y157" s="6"/>
      <c r="Z157" s="6">
        <f ca="1">('TUSD BE'!$AM$20+'TUSD BF'!$AM$20+'TUSD CVA'!$AM$20)*1</f>
        <v>519.26043781347539</v>
      </c>
      <c r="AA157" s="6">
        <f>('TE BE'!$AB$11+'TE BF'!$AB$11+'TE CVA'!$AB$11)*1</f>
        <v>166.7634981586946</v>
      </c>
      <c r="AB157" s="6">
        <f>$K$157*$V$157</f>
        <v>0</v>
      </c>
      <c r="AC157" s="6">
        <f>$M$157*$W$157</f>
        <v>604630.21192000003</v>
      </c>
      <c r="AD157" s="6">
        <f>$O$157*$X$157</f>
        <v>253530.82798000003</v>
      </c>
      <c r="AE157" s="6">
        <f>$K$157*$Y$157</f>
        <v>0</v>
      </c>
      <c r="AF157" s="6">
        <f ca="1">$M$157*$Z$157</f>
        <v>708778.55462532421</v>
      </c>
      <c r="AG157" s="6">
        <f>$O$157*$AA$157</f>
        <v>227628.3394261605</v>
      </c>
    </row>
    <row r="158" spans="1:33" ht="11.25" customHeight="1" x14ac:dyDescent="0.3">
      <c r="A158" s="4" t="s">
        <v>27</v>
      </c>
      <c r="B158" s="4" t="s">
        <v>22</v>
      </c>
      <c r="C158" s="4" t="s">
        <v>23</v>
      </c>
      <c r="D158" s="4" t="s">
        <v>24</v>
      </c>
      <c r="E158" s="4" t="s">
        <v>24</v>
      </c>
      <c r="F158" s="4" t="s">
        <v>25</v>
      </c>
      <c r="G158" s="4" t="s">
        <v>25</v>
      </c>
      <c r="H158" s="4" t="s">
        <v>25</v>
      </c>
      <c r="I158" s="5">
        <v>44652</v>
      </c>
      <c r="J158" s="6">
        <v>0</v>
      </c>
      <c r="K158" s="6">
        <v>0</v>
      </c>
      <c r="L158" s="6">
        <v>5.3970000000000002</v>
      </c>
      <c r="M158" s="6">
        <v>5.3970000000000002</v>
      </c>
      <c r="N158" s="6">
        <v>5.3970000000000002</v>
      </c>
      <c r="O158" s="6">
        <v>5.3970000000000002</v>
      </c>
      <c r="P158" s="6">
        <v>0</v>
      </c>
      <c r="Q158" s="4" t="s">
        <v>26</v>
      </c>
      <c r="R158" s="4">
        <v>0</v>
      </c>
      <c r="S158" s="6">
        <v>0</v>
      </c>
      <c r="T158" s="6">
        <v>32</v>
      </c>
      <c r="U158" s="6">
        <v>76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442.96</v>
      </c>
      <c r="X158" s="6">
        <f>IF(ISERROR(VLOOKUP($U$158,'TAR FIN'!$A$1:$O$85,15,0)),0,VLOOKUP($U$158,'TAR FIN'!$A$1:$O$85,15,0))</f>
        <v>185.74</v>
      </c>
      <c r="Y158" s="6"/>
      <c r="Z158" s="6">
        <f ca="1">('TUSD BE'!$AM$20+'TUSD BF'!$AM$20+'TUSD CVA'!$AM$20)*1</f>
        <v>519.26043781347539</v>
      </c>
      <c r="AA158" s="6">
        <f>('TE BE'!$AB$11+'TE BF'!$AB$11+'TE CVA'!$AB$11)*1</f>
        <v>166.7634981586946</v>
      </c>
      <c r="AB158" s="6">
        <f>$K$158*$V$158</f>
        <v>0</v>
      </c>
      <c r="AC158" s="6">
        <f>$M$158*$W$158</f>
        <v>2390.6551199999999</v>
      </c>
      <c r="AD158" s="6">
        <f>$O$158*$X$158</f>
        <v>1002.4387800000001</v>
      </c>
      <c r="AE158" s="6">
        <f>$K$158*$Y$158</f>
        <v>0</v>
      </c>
      <c r="AF158" s="6">
        <f ca="1">$M$158*$Z$158</f>
        <v>2802.4485828793268</v>
      </c>
      <c r="AG158" s="6">
        <f>$O$158*$AA$158</f>
        <v>900.02259956247485</v>
      </c>
    </row>
    <row r="159" spans="1:33" ht="11.25" customHeight="1" x14ac:dyDescent="0.3">
      <c r="A159" s="4" t="s">
        <v>28</v>
      </c>
      <c r="B159" s="4" t="s">
        <v>22</v>
      </c>
      <c r="C159" s="4" t="s">
        <v>23</v>
      </c>
      <c r="D159" s="4" t="s">
        <v>24</v>
      </c>
      <c r="E159" s="4" t="s">
        <v>24</v>
      </c>
      <c r="F159" s="4" t="s">
        <v>25</v>
      </c>
      <c r="G159" s="4" t="s">
        <v>25</v>
      </c>
      <c r="H159" s="4" t="s">
        <v>25</v>
      </c>
      <c r="I159" s="5">
        <v>44652</v>
      </c>
      <c r="J159" s="6">
        <v>0</v>
      </c>
      <c r="K159" s="6">
        <v>0</v>
      </c>
      <c r="L159" s="6">
        <v>31.420999999999999</v>
      </c>
      <c r="M159" s="6">
        <v>31.420999999999999</v>
      </c>
      <c r="N159" s="6">
        <v>31.420999999999999</v>
      </c>
      <c r="O159" s="6">
        <v>31.420999999999999</v>
      </c>
      <c r="P159" s="6">
        <v>78</v>
      </c>
      <c r="Q159" s="4" t="s">
        <v>26</v>
      </c>
      <c r="R159" s="4">
        <v>0</v>
      </c>
      <c r="S159" s="6">
        <v>0</v>
      </c>
      <c r="T159" s="6">
        <v>32</v>
      </c>
      <c r="U159" s="6">
        <v>76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442.96</v>
      </c>
      <c r="X159" s="6">
        <f>IF(ISERROR(VLOOKUP($U$159,'TAR FIN'!$A$1:$O$85,15,0)),0,VLOOKUP($U$159,'TAR FIN'!$A$1:$O$85,15,0))</f>
        <v>185.74</v>
      </c>
      <c r="Y159" s="6"/>
      <c r="Z159" s="6">
        <f ca="1">('TUSD BE'!$AM$20+'TUSD BF'!$AM$20+'TUSD CVA'!$AM$20)*1</f>
        <v>519.26043781347539</v>
      </c>
      <c r="AA159" s="6">
        <f>('TE BE'!$AB$11+'TE BF'!$AB$11+'TE CVA'!$AB$11)*1</f>
        <v>166.7634981586946</v>
      </c>
      <c r="AB159" s="6">
        <f>$K$159*$V$159</f>
        <v>0</v>
      </c>
      <c r="AC159" s="6">
        <f>$M$159*$W$159</f>
        <v>13918.246159999999</v>
      </c>
      <c r="AD159" s="6">
        <f>$O$159*$X$159</f>
        <v>5836.1365400000004</v>
      </c>
      <c r="AE159" s="6">
        <f>$K$159*$Y$159</f>
        <v>0</v>
      </c>
      <c r="AF159" s="6">
        <f ca="1">$M$159*$Z$159</f>
        <v>16315.68221653721</v>
      </c>
      <c r="AG159" s="6">
        <f>$O$159*$AA$159</f>
        <v>5239.8758756443431</v>
      </c>
    </row>
    <row r="160" spans="1:33" ht="11.25" customHeight="1" x14ac:dyDescent="0.3">
      <c r="A160" s="4" t="s">
        <v>28</v>
      </c>
      <c r="B160" s="4" t="s">
        <v>22</v>
      </c>
      <c r="C160" s="4" t="s">
        <v>23</v>
      </c>
      <c r="D160" s="4" t="s">
        <v>24</v>
      </c>
      <c r="E160" s="4" t="s">
        <v>24</v>
      </c>
      <c r="F160" s="4" t="s">
        <v>25</v>
      </c>
      <c r="G160" s="4" t="s">
        <v>25</v>
      </c>
      <c r="H160" s="4" t="s">
        <v>25</v>
      </c>
      <c r="I160" s="5">
        <v>44652</v>
      </c>
      <c r="J160" s="6">
        <v>0</v>
      </c>
      <c r="K160" s="6">
        <v>0</v>
      </c>
      <c r="L160" s="6">
        <v>-12.362</v>
      </c>
      <c r="M160" s="6">
        <v>-12.362</v>
      </c>
      <c r="N160" s="6">
        <v>-12.362</v>
      </c>
      <c r="O160" s="6">
        <v>-12.362</v>
      </c>
      <c r="P160" s="6">
        <v>1</v>
      </c>
      <c r="Q160" s="4" t="s">
        <v>26</v>
      </c>
      <c r="R160" s="4">
        <v>0</v>
      </c>
      <c r="S160" s="6">
        <v>0</v>
      </c>
      <c r="T160" s="6">
        <v>32</v>
      </c>
      <c r="U160" s="6">
        <v>76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442.96</v>
      </c>
      <c r="X160" s="6">
        <f>IF(ISERROR(VLOOKUP($U$160,'TAR FIN'!$A$1:$O$85,15,0)),0,VLOOKUP($U$160,'TAR FIN'!$A$1:$O$85,15,0))</f>
        <v>185.74</v>
      </c>
      <c r="Y160" s="6"/>
      <c r="Z160" s="6">
        <f ca="1">('TUSD BE'!$AM$20+'TUSD BF'!$AM$20+'TUSD CVA'!$AM$20)*1</f>
        <v>519.26043781347539</v>
      </c>
      <c r="AA160" s="6">
        <f>('TE BE'!$AB$11+'TE BF'!$AB$11+'TE CVA'!$AB$11)*1</f>
        <v>166.7634981586946</v>
      </c>
      <c r="AB160" s="6">
        <f>$K$160*$V$160</f>
        <v>0</v>
      </c>
      <c r="AC160" s="6">
        <f>$M$160*$W$160</f>
        <v>-5475.8715199999997</v>
      </c>
      <c r="AD160" s="6">
        <f>$O$160*$X$160</f>
        <v>-2296.1178800000002</v>
      </c>
      <c r="AE160" s="6">
        <f>$K$160*$Y$160</f>
        <v>0</v>
      </c>
      <c r="AF160" s="6">
        <f ca="1">$M$160*$Z$160</f>
        <v>-6419.0975322501827</v>
      </c>
      <c r="AG160" s="6">
        <f>$O$160*$AA$160</f>
        <v>-2061.5303642377826</v>
      </c>
    </row>
    <row r="161" spans="1:33" ht="11.25" customHeight="1" x14ac:dyDescent="0.3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24</v>
      </c>
      <c r="F161" s="4" t="s">
        <v>25</v>
      </c>
      <c r="G161" s="4" t="s">
        <v>25</v>
      </c>
      <c r="H161" s="4" t="s">
        <v>25</v>
      </c>
      <c r="I161" s="5">
        <v>44682</v>
      </c>
      <c r="J161" s="6">
        <v>0</v>
      </c>
      <c r="K161" s="6">
        <v>0</v>
      </c>
      <c r="L161" s="6">
        <v>1274.4059999999999</v>
      </c>
      <c r="M161" s="6">
        <v>1274.4059999999999</v>
      </c>
      <c r="N161" s="6">
        <v>1274.4059999999999</v>
      </c>
      <c r="O161" s="6">
        <v>1274.4059999999999</v>
      </c>
      <c r="P161" s="6">
        <v>8231</v>
      </c>
      <c r="Q161" s="4" t="s">
        <v>26</v>
      </c>
      <c r="R161" s="4">
        <v>0</v>
      </c>
      <c r="S161" s="6">
        <v>0</v>
      </c>
      <c r="T161" s="6">
        <v>32</v>
      </c>
      <c r="U161" s="6">
        <v>76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442.96</v>
      </c>
      <c r="X161" s="6">
        <f>IF(ISERROR(VLOOKUP($U$161,'TAR FIN'!$A$1:$O$85,15,0)),0,VLOOKUP($U$161,'TAR FIN'!$A$1:$O$85,15,0))</f>
        <v>185.74</v>
      </c>
      <c r="Y161" s="6"/>
      <c r="Z161" s="6">
        <f ca="1">('TUSD BE'!$AM$20+'TUSD BF'!$AM$20+'TUSD CVA'!$AM$20)*1</f>
        <v>519.26043781347539</v>
      </c>
      <c r="AA161" s="6">
        <f>('TE BE'!$AB$11+'TE BF'!$AB$11+'TE CVA'!$AB$11)*1</f>
        <v>166.7634981586946</v>
      </c>
      <c r="AB161" s="6">
        <f>$K$161*$V$161</f>
        <v>0</v>
      </c>
      <c r="AC161" s="6">
        <f>$M$161*$W$161</f>
        <v>564510.8817599999</v>
      </c>
      <c r="AD161" s="6">
        <f>$O$161*$X$161</f>
        <v>236708.17044000002</v>
      </c>
      <c r="AE161" s="6">
        <f>$K$161*$Y$161</f>
        <v>0</v>
      </c>
      <c r="AF161" s="6">
        <f ca="1">$M$161*$Z$161</f>
        <v>661748.61751211993</v>
      </c>
      <c r="AG161" s="6">
        <f>$O$161*$AA$161</f>
        <v>212524.40263442934</v>
      </c>
    </row>
    <row r="162" spans="1:33" ht="11.25" customHeight="1" x14ac:dyDescent="0.3">
      <c r="A162" s="4" t="s">
        <v>27</v>
      </c>
      <c r="B162" s="4" t="s">
        <v>22</v>
      </c>
      <c r="C162" s="4" t="s">
        <v>23</v>
      </c>
      <c r="D162" s="4" t="s">
        <v>24</v>
      </c>
      <c r="E162" s="4" t="s">
        <v>24</v>
      </c>
      <c r="F162" s="4" t="s">
        <v>25</v>
      </c>
      <c r="G162" s="4" t="s">
        <v>25</v>
      </c>
      <c r="H162" s="4" t="s">
        <v>25</v>
      </c>
      <c r="I162" s="5">
        <v>44682</v>
      </c>
      <c r="J162" s="6">
        <v>0</v>
      </c>
      <c r="K162" s="6">
        <v>0</v>
      </c>
      <c r="L162" s="6">
        <v>-11.041</v>
      </c>
      <c r="M162" s="6">
        <v>-11.041</v>
      </c>
      <c r="N162" s="6">
        <v>-11.041</v>
      </c>
      <c r="O162" s="6">
        <v>-11.041</v>
      </c>
      <c r="P162" s="6">
        <v>0</v>
      </c>
      <c r="Q162" s="4" t="s">
        <v>26</v>
      </c>
      <c r="R162" s="4">
        <v>0</v>
      </c>
      <c r="S162" s="6">
        <v>0</v>
      </c>
      <c r="T162" s="6">
        <v>32</v>
      </c>
      <c r="U162" s="6">
        <v>76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442.96</v>
      </c>
      <c r="X162" s="6">
        <f>IF(ISERROR(VLOOKUP($U$162,'TAR FIN'!$A$1:$O$85,15,0)),0,VLOOKUP($U$162,'TAR FIN'!$A$1:$O$85,15,0))</f>
        <v>185.74</v>
      </c>
      <c r="Y162" s="6"/>
      <c r="Z162" s="6">
        <f ca="1">('TUSD BE'!$AM$20+'TUSD BF'!$AM$20+'TUSD CVA'!$AM$20)*1</f>
        <v>519.26043781347539</v>
      </c>
      <c r="AA162" s="6">
        <f>('TE BE'!$AB$11+'TE BF'!$AB$11+'TE CVA'!$AB$11)*1</f>
        <v>166.7634981586946</v>
      </c>
      <c r="AB162" s="6">
        <f>$K$162*$V$162</f>
        <v>0</v>
      </c>
      <c r="AC162" s="6">
        <f>$M$162*$W$162</f>
        <v>-4890.7213599999995</v>
      </c>
      <c r="AD162" s="6">
        <f>$O$162*$X$162</f>
        <v>-2050.7553400000002</v>
      </c>
      <c r="AE162" s="6">
        <f>$K$162*$Y$162</f>
        <v>0</v>
      </c>
      <c r="AF162" s="6">
        <f ca="1">$M$162*$Z$162</f>
        <v>-5733.1544938985817</v>
      </c>
      <c r="AG162" s="6">
        <f>$O$162*$AA$162</f>
        <v>-1841.2357831701472</v>
      </c>
    </row>
    <row r="163" spans="1:33" ht="11.25" customHeight="1" x14ac:dyDescent="0.3">
      <c r="A163" s="4" t="s">
        <v>28</v>
      </c>
      <c r="B163" s="4" t="s">
        <v>22</v>
      </c>
      <c r="C163" s="4" t="s">
        <v>23</v>
      </c>
      <c r="D163" s="4" t="s">
        <v>24</v>
      </c>
      <c r="E163" s="4" t="s">
        <v>24</v>
      </c>
      <c r="F163" s="4" t="s">
        <v>25</v>
      </c>
      <c r="G163" s="4" t="s">
        <v>25</v>
      </c>
      <c r="H163" s="4" t="s">
        <v>25</v>
      </c>
      <c r="I163" s="5">
        <v>44682</v>
      </c>
      <c r="J163" s="6">
        <v>0</v>
      </c>
      <c r="K163" s="6">
        <v>0</v>
      </c>
      <c r="L163" s="6">
        <v>12.147</v>
      </c>
      <c r="M163" s="6">
        <v>12.147</v>
      </c>
      <c r="N163" s="6">
        <v>12.147</v>
      </c>
      <c r="O163" s="6">
        <v>12.147</v>
      </c>
      <c r="P163" s="6">
        <v>87</v>
      </c>
      <c r="Q163" s="4" t="s">
        <v>26</v>
      </c>
      <c r="R163" s="4">
        <v>0</v>
      </c>
      <c r="S163" s="6">
        <v>0</v>
      </c>
      <c r="T163" s="6">
        <v>32</v>
      </c>
      <c r="U163" s="6">
        <v>76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442.96</v>
      </c>
      <c r="X163" s="6">
        <f>IF(ISERROR(VLOOKUP($U$163,'TAR FIN'!$A$1:$O$85,15,0)),0,VLOOKUP($U$163,'TAR FIN'!$A$1:$O$85,15,0))</f>
        <v>185.74</v>
      </c>
      <c r="Y163" s="6"/>
      <c r="Z163" s="6">
        <f ca="1">('TUSD BE'!$AM$20+'TUSD BF'!$AM$20+'TUSD CVA'!$AM$20)*1</f>
        <v>519.26043781347539</v>
      </c>
      <c r="AA163" s="6">
        <f>('TE BE'!$AB$11+'TE BF'!$AB$11+'TE CVA'!$AB$11)*1</f>
        <v>166.7634981586946</v>
      </c>
      <c r="AB163" s="6">
        <f>$K$163*$V$163</f>
        <v>0</v>
      </c>
      <c r="AC163" s="6">
        <f>$M$163*$W$163</f>
        <v>5380.6351199999999</v>
      </c>
      <c r="AD163" s="6">
        <f>$O$163*$X$163</f>
        <v>2256.1837800000003</v>
      </c>
      <c r="AE163" s="6">
        <f>$K$163*$Y$163</f>
        <v>0</v>
      </c>
      <c r="AF163" s="6">
        <f ca="1">$M$163*$Z$163</f>
        <v>6307.4565381202856</v>
      </c>
      <c r="AG163" s="6">
        <f>$O$163*$AA$163</f>
        <v>2025.6762121336633</v>
      </c>
    </row>
    <row r="164" spans="1:33" ht="11.25" customHeight="1" x14ac:dyDescent="0.3">
      <c r="A164" s="4" t="s">
        <v>28</v>
      </c>
      <c r="B164" s="4" t="s">
        <v>22</v>
      </c>
      <c r="C164" s="4" t="s">
        <v>23</v>
      </c>
      <c r="D164" s="4" t="s">
        <v>24</v>
      </c>
      <c r="E164" s="4" t="s">
        <v>24</v>
      </c>
      <c r="F164" s="4" t="s">
        <v>25</v>
      </c>
      <c r="G164" s="4" t="s">
        <v>25</v>
      </c>
      <c r="H164" s="4" t="s">
        <v>25</v>
      </c>
      <c r="I164" s="5">
        <v>44682</v>
      </c>
      <c r="J164" s="6">
        <v>0</v>
      </c>
      <c r="K164" s="6">
        <v>0</v>
      </c>
      <c r="L164" s="6">
        <v>-17.548999999999999</v>
      </c>
      <c r="M164" s="6">
        <v>-17.548999999999999</v>
      </c>
      <c r="N164" s="6">
        <v>-17.548999999999999</v>
      </c>
      <c r="O164" s="6">
        <v>-17.548999999999999</v>
      </c>
      <c r="P164" s="6">
        <v>4</v>
      </c>
      <c r="Q164" s="4" t="s">
        <v>26</v>
      </c>
      <c r="R164" s="4">
        <v>0</v>
      </c>
      <c r="S164" s="6">
        <v>0</v>
      </c>
      <c r="T164" s="6">
        <v>32</v>
      </c>
      <c r="U164" s="6">
        <v>76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442.96</v>
      </c>
      <c r="X164" s="6">
        <f>IF(ISERROR(VLOOKUP($U$164,'TAR FIN'!$A$1:$O$85,15,0)),0,VLOOKUP($U$164,'TAR FIN'!$A$1:$O$85,15,0))</f>
        <v>185.74</v>
      </c>
      <c r="Y164" s="6"/>
      <c r="Z164" s="6">
        <f ca="1">('TUSD BE'!$AM$20+'TUSD BF'!$AM$20+'TUSD CVA'!$AM$20)*1</f>
        <v>519.26043781347539</v>
      </c>
      <c r="AA164" s="6">
        <f>('TE BE'!$AB$11+'TE BF'!$AB$11+'TE CVA'!$AB$11)*1</f>
        <v>166.7634981586946</v>
      </c>
      <c r="AB164" s="6">
        <f>$K$164*$V$164</f>
        <v>0</v>
      </c>
      <c r="AC164" s="6">
        <f>$M$164*$W$164</f>
        <v>-7773.5050399999991</v>
      </c>
      <c r="AD164" s="6">
        <f>$O$164*$X$164</f>
        <v>-3259.5512600000002</v>
      </c>
      <c r="AE164" s="6">
        <f>$K$164*$Y$164</f>
        <v>0</v>
      </c>
      <c r="AF164" s="6">
        <f ca="1">$M$164*$Z$164</f>
        <v>-9112.5014231886798</v>
      </c>
      <c r="AG164" s="6">
        <f>$O$164*$AA$164</f>
        <v>-2926.5326291869314</v>
      </c>
    </row>
    <row r="165" spans="1:33" ht="11.25" customHeight="1" x14ac:dyDescent="0.3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24</v>
      </c>
      <c r="F165" s="4" t="s">
        <v>25</v>
      </c>
      <c r="G165" s="4" t="s">
        <v>25</v>
      </c>
      <c r="H165" s="4" t="s">
        <v>25</v>
      </c>
      <c r="I165" s="5">
        <v>44713</v>
      </c>
      <c r="J165" s="6">
        <v>0</v>
      </c>
      <c r="K165" s="6">
        <v>0</v>
      </c>
      <c r="L165" s="6">
        <v>1329.1890000000001</v>
      </c>
      <c r="M165" s="6">
        <v>1329.1890000000001</v>
      </c>
      <c r="N165" s="6">
        <v>1329.1890000000001</v>
      </c>
      <c r="O165" s="6">
        <v>1329.1890000000001</v>
      </c>
      <c r="P165" s="6">
        <v>8264</v>
      </c>
      <c r="Q165" s="4" t="s">
        <v>26</v>
      </c>
      <c r="R165" s="4">
        <v>0</v>
      </c>
      <c r="S165" s="6">
        <v>0</v>
      </c>
      <c r="T165" s="6">
        <v>32</v>
      </c>
      <c r="U165" s="6">
        <v>76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442.96</v>
      </c>
      <c r="X165" s="6">
        <f>IF(ISERROR(VLOOKUP($U$165,'TAR FIN'!$A$1:$O$85,15,0)),0,VLOOKUP($U$165,'TAR FIN'!$A$1:$O$85,15,0))</f>
        <v>185.74</v>
      </c>
      <c r="Y165" s="6"/>
      <c r="Z165" s="6">
        <f ca="1">('TUSD BE'!$AM$20+'TUSD BF'!$AM$20+'TUSD CVA'!$AM$20)*1</f>
        <v>519.26043781347539</v>
      </c>
      <c r="AA165" s="6">
        <f>('TE BE'!$AB$11+'TE BF'!$AB$11+'TE CVA'!$AB$11)*1</f>
        <v>166.7634981586946</v>
      </c>
      <c r="AB165" s="6">
        <f>$K$165*$V$165</f>
        <v>0</v>
      </c>
      <c r="AC165" s="6">
        <f>$M$165*$W$165</f>
        <v>588777.55943999998</v>
      </c>
      <c r="AD165" s="6">
        <f>$O$165*$X$165</f>
        <v>246883.56486000001</v>
      </c>
      <c r="AE165" s="6">
        <f>$K$165*$Y$165</f>
        <v>0</v>
      </c>
      <c r="AF165" s="6">
        <f ca="1">$M$165*$Z$165</f>
        <v>690195.26207685564</v>
      </c>
      <c r="AG165" s="6">
        <f>$O$165*$AA$165</f>
        <v>221660.20735405714</v>
      </c>
    </row>
    <row r="166" spans="1:33" ht="11.25" customHeight="1" x14ac:dyDescent="0.3">
      <c r="A166" s="4" t="s">
        <v>27</v>
      </c>
      <c r="B166" s="4" t="s">
        <v>22</v>
      </c>
      <c r="C166" s="4" t="s">
        <v>23</v>
      </c>
      <c r="D166" s="4" t="s">
        <v>24</v>
      </c>
      <c r="E166" s="4" t="s">
        <v>24</v>
      </c>
      <c r="F166" s="4" t="s">
        <v>25</v>
      </c>
      <c r="G166" s="4" t="s">
        <v>25</v>
      </c>
      <c r="H166" s="4" t="s">
        <v>25</v>
      </c>
      <c r="I166" s="5">
        <v>44713</v>
      </c>
      <c r="J166" s="6">
        <v>0</v>
      </c>
      <c r="K166" s="6">
        <v>0</v>
      </c>
      <c r="L166" s="6">
        <v>-0.57799999999999996</v>
      </c>
      <c r="M166" s="6">
        <v>-0.57799999999999996</v>
      </c>
      <c r="N166" s="6">
        <v>-0.57799999999999996</v>
      </c>
      <c r="O166" s="6">
        <v>-0.57799999999999996</v>
      </c>
      <c r="P166" s="6">
        <v>0</v>
      </c>
      <c r="Q166" s="4" t="s">
        <v>26</v>
      </c>
      <c r="R166" s="4">
        <v>0</v>
      </c>
      <c r="S166" s="6">
        <v>0</v>
      </c>
      <c r="T166" s="6">
        <v>32</v>
      </c>
      <c r="U166" s="6">
        <v>76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442.96</v>
      </c>
      <c r="X166" s="6">
        <f>IF(ISERROR(VLOOKUP($U$166,'TAR FIN'!$A$1:$O$85,15,0)),0,VLOOKUP($U$166,'TAR FIN'!$A$1:$O$85,15,0))</f>
        <v>185.74</v>
      </c>
      <c r="Y166" s="6"/>
      <c r="Z166" s="6">
        <f ca="1">('TUSD BE'!$AM$20+'TUSD BF'!$AM$20+'TUSD CVA'!$AM$20)*1</f>
        <v>519.26043781347539</v>
      </c>
      <c r="AA166" s="6">
        <f>('TE BE'!$AB$11+'TE BF'!$AB$11+'TE CVA'!$AB$11)*1</f>
        <v>166.7634981586946</v>
      </c>
      <c r="AB166" s="6">
        <f>$K$166*$V$166</f>
        <v>0</v>
      </c>
      <c r="AC166" s="6">
        <f>$M$166*$W$166</f>
        <v>-256.03087999999997</v>
      </c>
      <c r="AD166" s="6">
        <f>$O$166*$X$166</f>
        <v>-107.35772</v>
      </c>
      <c r="AE166" s="6">
        <f>$K$166*$Y$166</f>
        <v>0</v>
      </c>
      <c r="AF166" s="6">
        <f ca="1">$M$166*$Z$166</f>
        <v>-300.13253305618878</v>
      </c>
      <c r="AG166" s="6">
        <f>$O$166*$AA$166</f>
        <v>-96.38930193572547</v>
      </c>
    </row>
    <row r="167" spans="1:33" ht="11.25" customHeight="1" x14ac:dyDescent="0.3">
      <c r="A167" s="4" t="s">
        <v>28</v>
      </c>
      <c r="B167" s="4" t="s">
        <v>22</v>
      </c>
      <c r="C167" s="4" t="s">
        <v>23</v>
      </c>
      <c r="D167" s="4" t="s">
        <v>24</v>
      </c>
      <c r="E167" s="4" t="s">
        <v>24</v>
      </c>
      <c r="F167" s="4" t="s">
        <v>25</v>
      </c>
      <c r="G167" s="4" t="s">
        <v>25</v>
      </c>
      <c r="H167" s="4" t="s">
        <v>25</v>
      </c>
      <c r="I167" s="5">
        <v>44713</v>
      </c>
      <c r="J167" s="6">
        <v>0</v>
      </c>
      <c r="K167" s="6">
        <v>0</v>
      </c>
      <c r="L167" s="6">
        <v>0.192</v>
      </c>
      <c r="M167" s="6">
        <v>0.192</v>
      </c>
      <c r="N167" s="6">
        <v>0.192</v>
      </c>
      <c r="O167" s="6">
        <v>0.192</v>
      </c>
      <c r="P167" s="6">
        <v>3</v>
      </c>
      <c r="Q167" s="4" t="s">
        <v>26</v>
      </c>
      <c r="R167" s="4">
        <v>0</v>
      </c>
      <c r="S167" s="6">
        <v>0</v>
      </c>
      <c r="T167" s="6">
        <v>32</v>
      </c>
      <c r="U167" s="6">
        <v>76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442.96</v>
      </c>
      <c r="X167" s="6">
        <f>IF(ISERROR(VLOOKUP($U$167,'TAR FIN'!$A$1:$O$85,15,0)),0,VLOOKUP($U$167,'TAR FIN'!$A$1:$O$85,15,0))</f>
        <v>185.74</v>
      </c>
      <c r="Y167" s="6"/>
      <c r="Z167" s="6">
        <f ca="1">('TUSD BE'!$AM$20+'TUSD BF'!$AM$20+'TUSD CVA'!$AM$20)*1</f>
        <v>519.26043781347539</v>
      </c>
      <c r="AA167" s="6">
        <f>('TE BE'!$AB$11+'TE BF'!$AB$11+'TE CVA'!$AB$11)*1</f>
        <v>166.7634981586946</v>
      </c>
      <c r="AB167" s="6">
        <f>$K$167*$V$167</f>
        <v>0</v>
      </c>
      <c r="AC167" s="6">
        <f>$M$167*$W$167</f>
        <v>85.048320000000004</v>
      </c>
      <c r="AD167" s="6">
        <f>$O$167*$X$167</f>
        <v>35.662080000000003</v>
      </c>
      <c r="AE167" s="6">
        <f>$K$167*$Y$167</f>
        <v>0</v>
      </c>
      <c r="AF167" s="6">
        <f ca="1">$M$167*$Z$167</f>
        <v>99.698004060187273</v>
      </c>
      <c r="AG167" s="6">
        <f>$O$167*$AA$167</f>
        <v>32.018591646469368</v>
      </c>
    </row>
    <row r="168" spans="1:33" ht="11.25" customHeight="1" x14ac:dyDescent="0.3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24</v>
      </c>
      <c r="F168" s="4" t="s">
        <v>25</v>
      </c>
      <c r="G168" s="4" t="s">
        <v>25</v>
      </c>
      <c r="H168" s="4" t="s">
        <v>25</v>
      </c>
      <c r="I168" s="5">
        <v>44743</v>
      </c>
      <c r="J168" s="6">
        <v>0</v>
      </c>
      <c r="K168" s="6">
        <v>0</v>
      </c>
      <c r="L168" s="6">
        <v>1144.6780000000001</v>
      </c>
      <c r="M168" s="6">
        <v>1144.6780000000001</v>
      </c>
      <c r="N168" s="6">
        <v>1144.6780000000001</v>
      </c>
      <c r="O168" s="6">
        <v>1144.6780000000001</v>
      </c>
      <c r="P168" s="6">
        <v>8293</v>
      </c>
      <c r="Q168" s="4" t="s">
        <v>26</v>
      </c>
      <c r="R168" s="4">
        <v>0</v>
      </c>
      <c r="S168" s="6">
        <v>0</v>
      </c>
      <c r="T168" s="6">
        <v>32</v>
      </c>
      <c r="U168" s="6">
        <v>76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442.96</v>
      </c>
      <c r="X168" s="6">
        <f>IF(ISERROR(VLOOKUP($U$168,'TAR FIN'!$A$1:$O$85,15,0)),0,VLOOKUP($U$168,'TAR FIN'!$A$1:$O$85,15,0))</f>
        <v>185.74</v>
      </c>
      <c r="Y168" s="6"/>
      <c r="Z168" s="6">
        <f ca="1">('TUSD BE'!$AM$20+'TUSD BF'!$AM$20+'TUSD CVA'!$AM$20)*1</f>
        <v>519.26043781347539</v>
      </c>
      <c r="AA168" s="6">
        <f>('TE BE'!$AB$11+'TE BF'!$AB$11+'TE CVA'!$AB$11)*1</f>
        <v>166.7634981586946</v>
      </c>
      <c r="AB168" s="6">
        <f>$K$168*$V$168</f>
        <v>0</v>
      </c>
      <c r="AC168" s="6">
        <f>$M$168*$W$168</f>
        <v>507046.56688</v>
      </c>
      <c r="AD168" s="6">
        <f>$O$168*$X$168</f>
        <v>212612.49172000002</v>
      </c>
      <c r="AE168" s="6">
        <f>$K$168*$Y$168</f>
        <v>0</v>
      </c>
      <c r="AF168" s="6">
        <f ca="1">$M$168*$Z$168</f>
        <v>594385.99943545344</v>
      </c>
      <c r="AG168" s="6">
        <f>$O$168*$AA$168</f>
        <v>190890.50754529823</v>
      </c>
    </row>
    <row r="169" spans="1:33" ht="11.25" customHeight="1" x14ac:dyDescent="0.3">
      <c r="A169" s="4" t="s">
        <v>27</v>
      </c>
      <c r="B169" s="4" t="s">
        <v>22</v>
      </c>
      <c r="C169" s="4" t="s">
        <v>23</v>
      </c>
      <c r="D169" s="4" t="s">
        <v>24</v>
      </c>
      <c r="E169" s="4" t="s">
        <v>24</v>
      </c>
      <c r="F169" s="4" t="s">
        <v>25</v>
      </c>
      <c r="G169" s="4" t="s">
        <v>25</v>
      </c>
      <c r="H169" s="4" t="s">
        <v>25</v>
      </c>
      <c r="I169" s="5">
        <v>44743</v>
      </c>
      <c r="J169" s="6">
        <v>0</v>
      </c>
      <c r="K169" s="6">
        <v>0</v>
      </c>
      <c r="L169" s="6">
        <v>-1.2889999999999999</v>
      </c>
      <c r="M169" s="6">
        <v>-1.2889999999999999</v>
      </c>
      <c r="N169" s="6">
        <v>-1.2889999999999999</v>
      </c>
      <c r="O169" s="6">
        <v>-1.2889999999999999</v>
      </c>
      <c r="P169" s="6">
        <v>0</v>
      </c>
      <c r="Q169" s="4" t="s">
        <v>26</v>
      </c>
      <c r="R169" s="4">
        <v>0</v>
      </c>
      <c r="S169" s="6">
        <v>0</v>
      </c>
      <c r="T169" s="6">
        <v>32</v>
      </c>
      <c r="U169" s="6">
        <v>76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442.96</v>
      </c>
      <c r="X169" s="6">
        <f>IF(ISERROR(VLOOKUP($U$169,'TAR FIN'!$A$1:$O$85,15,0)),0,VLOOKUP($U$169,'TAR FIN'!$A$1:$O$85,15,0))</f>
        <v>185.74</v>
      </c>
      <c r="Y169" s="6"/>
      <c r="Z169" s="6">
        <f ca="1">('TUSD BE'!$AM$20+'TUSD BF'!$AM$20+'TUSD CVA'!$AM$20)*1</f>
        <v>519.26043781347539</v>
      </c>
      <c r="AA169" s="6">
        <f>('TE BE'!$AB$11+'TE BF'!$AB$11+'TE CVA'!$AB$11)*1</f>
        <v>166.7634981586946</v>
      </c>
      <c r="AB169" s="6">
        <f>$K$169*$V$169</f>
        <v>0</v>
      </c>
      <c r="AC169" s="6">
        <f>$M$169*$W$169</f>
        <v>-570.97543999999994</v>
      </c>
      <c r="AD169" s="6">
        <f>$O$169*$X$169</f>
        <v>-239.41886</v>
      </c>
      <c r="AE169" s="6">
        <f>$K$169*$Y$169</f>
        <v>0</v>
      </c>
      <c r="AF169" s="6">
        <f ca="1">$M$169*$Z$169</f>
        <v>-669.32670434156978</v>
      </c>
      <c r="AG169" s="6">
        <f>$O$169*$AA$169</f>
        <v>-214.95814912655732</v>
      </c>
    </row>
    <row r="170" spans="1:33" ht="11.25" customHeight="1" x14ac:dyDescent="0.3">
      <c r="A170" s="4" t="s">
        <v>28</v>
      </c>
      <c r="B170" s="4" t="s">
        <v>22</v>
      </c>
      <c r="C170" s="4" t="s">
        <v>23</v>
      </c>
      <c r="D170" s="4" t="s">
        <v>24</v>
      </c>
      <c r="E170" s="4" t="s">
        <v>24</v>
      </c>
      <c r="F170" s="4" t="s">
        <v>25</v>
      </c>
      <c r="G170" s="4" t="s">
        <v>25</v>
      </c>
      <c r="H170" s="4" t="s">
        <v>25</v>
      </c>
      <c r="I170" s="5">
        <v>44743</v>
      </c>
      <c r="J170" s="6">
        <v>0</v>
      </c>
      <c r="K170" s="6">
        <v>0</v>
      </c>
      <c r="L170" s="6">
        <v>21.67</v>
      </c>
      <c r="M170" s="6">
        <v>21.67</v>
      </c>
      <c r="N170" s="6">
        <v>21.67</v>
      </c>
      <c r="O170" s="6">
        <v>21.67</v>
      </c>
      <c r="P170" s="6">
        <v>104</v>
      </c>
      <c r="Q170" s="4" t="s">
        <v>26</v>
      </c>
      <c r="R170" s="4">
        <v>0</v>
      </c>
      <c r="S170" s="6">
        <v>0</v>
      </c>
      <c r="T170" s="6">
        <v>32</v>
      </c>
      <c r="U170" s="6">
        <v>76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442.96</v>
      </c>
      <c r="X170" s="6">
        <f>IF(ISERROR(VLOOKUP($U$170,'TAR FIN'!$A$1:$O$85,15,0)),0,VLOOKUP($U$170,'TAR FIN'!$A$1:$O$85,15,0))</f>
        <v>185.74</v>
      </c>
      <c r="Y170" s="6"/>
      <c r="Z170" s="6">
        <f ca="1">('TUSD BE'!$AM$20+'TUSD BF'!$AM$20+'TUSD CVA'!$AM$20)*1</f>
        <v>519.26043781347539</v>
      </c>
      <c r="AA170" s="6">
        <f>('TE BE'!$AB$11+'TE BF'!$AB$11+'TE CVA'!$AB$11)*1</f>
        <v>166.7634981586946</v>
      </c>
      <c r="AB170" s="6">
        <f>$K$170*$V$170</f>
        <v>0</v>
      </c>
      <c r="AC170" s="6">
        <f>$M$170*$W$170</f>
        <v>9598.9431999999997</v>
      </c>
      <c r="AD170" s="6">
        <f>$O$170*$X$170</f>
        <v>4024.9858000000004</v>
      </c>
      <c r="AE170" s="6">
        <f>$K$170*$Y$170</f>
        <v>0</v>
      </c>
      <c r="AF170" s="6">
        <f ca="1">$M$170*$Z$170</f>
        <v>11252.373687418012</v>
      </c>
      <c r="AG170" s="6">
        <f>$O$170*$AA$170</f>
        <v>3613.7650050989123</v>
      </c>
    </row>
    <row r="171" spans="1:33" ht="11.25" customHeight="1" x14ac:dyDescent="0.3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24</v>
      </c>
      <c r="F171" s="4" t="s">
        <v>25</v>
      </c>
      <c r="G171" s="4" t="s">
        <v>25</v>
      </c>
      <c r="H171" s="4" t="s">
        <v>25</v>
      </c>
      <c r="I171" s="5">
        <v>44774</v>
      </c>
      <c r="J171" s="6">
        <v>0</v>
      </c>
      <c r="K171" s="6">
        <v>0</v>
      </c>
      <c r="L171" s="6">
        <v>1352.2570000000001</v>
      </c>
      <c r="M171" s="6">
        <v>1352.2570000000001</v>
      </c>
      <c r="N171" s="6">
        <v>1352.2570000000001</v>
      </c>
      <c r="O171" s="6">
        <v>1352.2570000000001</v>
      </c>
      <c r="P171" s="6">
        <v>8393</v>
      </c>
      <c r="Q171" s="4" t="s">
        <v>26</v>
      </c>
      <c r="R171" s="4">
        <v>0</v>
      </c>
      <c r="S171" s="6">
        <v>0</v>
      </c>
      <c r="T171" s="6">
        <v>32</v>
      </c>
      <c r="U171" s="6">
        <v>76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442.96</v>
      </c>
      <c r="X171" s="6">
        <f>IF(ISERROR(VLOOKUP($U$171,'TAR FIN'!$A$1:$O$85,15,0)),0,VLOOKUP($U$171,'TAR FIN'!$A$1:$O$85,15,0))</f>
        <v>185.74</v>
      </c>
      <c r="Y171" s="6"/>
      <c r="Z171" s="6">
        <f ca="1">('TUSD BE'!$AM$20+'TUSD BF'!$AM$20+'TUSD CVA'!$AM$20)*1</f>
        <v>519.26043781347539</v>
      </c>
      <c r="AA171" s="6">
        <f>('TE BE'!$AB$11+'TE BF'!$AB$11+'TE CVA'!$AB$11)*1</f>
        <v>166.7634981586946</v>
      </c>
      <c r="AB171" s="6">
        <f>$K$171*$V$171</f>
        <v>0</v>
      </c>
      <c r="AC171" s="6">
        <f>$M$171*$W$171</f>
        <v>598995.76072000002</v>
      </c>
      <c r="AD171" s="6">
        <f>$O$171*$X$171</f>
        <v>251168.21518000003</v>
      </c>
      <c r="AE171" s="6">
        <f>$K$171*$Y$171</f>
        <v>0</v>
      </c>
      <c r="AF171" s="6">
        <f ca="1">$M$171*$Z$171</f>
        <v>702173.56185633678</v>
      </c>
      <c r="AG171" s="6">
        <f>$O$171*$AA$171</f>
        <v>225507.10772958188</v>
      </c>
    </row>
    <row r="172" spans="1:33" ht="11.25" customHeight="1" x14ac:dyDescent="0.3">
      <c r="A172" s="4" t="s">
        <v>27</v>
      </c>
      <c r="B172" s="4" t="s">
        <v>22</v>
      </c>
      <c r="C172" s="4" t="s">
        <v>23</v>
      </c>
      <c r="D172" s="4" t="s">
        <v>24</v>
      </c>
      <c r="E172" s="4" t="s">
        <v>24</v>
      </c>
      <c r="F172" s="4" t="s">
        <v>25</v>
      </c>
      <c r="G172" s="4" t="s">
        <v>25</v>
      </c>
      <c r="H172" s="4" t="s">
        <v>25</v>
      </c>
      <c r="I172" s="5">
        <v>44774</v>
      </c>
      <c r="J172" s="6">
        <v>0</v>
      </c>
      <c r="K172" s="6">
        <v>0</v>
      </c>
      <c r="L172" s="6">
        <v>-0.123</v>
      </c>
      <c r="M172" s="6">
        <v>-0.123</v>
      </c>
      <c r="N172" s="6">
        <v>-0.123</v>
      </c>
      <c r="O172" s="6">
        <v>-0.123</v>
      </c>
      <c r="P172" s="6">
        <v>0</v>
      </c>
      <c r="Q172" s="4" t="s">
        <v>26</v>
      </c>
      <c r="R172" s="4">
        <v>0</v>
      </c>
      <c r="S172" s="6">
        <v>0</v>
      </c>
      <c r="T172" s="6">
        <v>32</v>
      </c>
      <c r="U172" s="6">
        <v>76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442.96</v>
      </c>
      <c r="X172" s="6">
        <f>IF(ISERROR(VLOOKUP($U$172,'TAR FIN'!$A$1:$O$85,15,0)),0,VLOOKUP($U$172,'TAR FIN'!$A$1:$O$85,15,0))</f>
        <v>185.74</v>
      </c>
      <c r="Y172" s="6"/>
      <c r="Z172" s="6">
        <f ca="1">('TUSD BE'!$AM$20+'TUSD BF'!$AM$20+'TUSD CVA'!$AM$20)*1</f>
        <v>519.26043781347539</v>
      </c>
      <c r="AA172" s="6">
        <f>('TE BE'!$AB$11+'TE BF'!$AB$11+'TE CVA'!$AB$11)*1</f>
        <v>166.7634981586946</v>
      </c>
      <c r="AB172" s="6">
        <f>$K$172*$V$172</f>
        <v>0</v>
      </c>
      <c r="AC172" s="6">
        <f>$M$172*$W$172</f>
        <v>-54.484079999999999</v>
      </c>
      <c r="AD172" s="6">
        <f>$O$172*$X$172</f>
        <v>-22.846019999999999</v>
      </c>
      <c r="AE172" s="6">
        <f>$K$172*$Y$172</f>
        <v>0</v>
      </c>
      <c r="AF172" s="6">
        <f ca="1">$M$172*$Z$172</f>
        <v>-63.869033851057473</v>
      </c>
      <c r="AG172" s="6">
        <f>$O$172*$AA$172</f>
        <v>-20.511910273519437</v>
      </c>
    </row>
    <row r="173" spans="1:33" ht="11.25" customHeight="1" x14ac:dyDescent="0.3">
      <c r="A173" s="4" t="s">
        <v>28</v>
      </c>
      <c r="B173" s="4" t="s">
        <v>22</v>
      </c>
      <c r="C173" s="4" t="s">
        <v>23</v>
      </c>
      <c r="D173" s="4" t="s">
        <v>24</v>
      </c>
      <c r="E173" s="4" t="s">
        <v>24</v>
      </c>
      <c r="F173" s="4" t="s">
        <v>25</v>
      </c>
      <c r="G173" s="4" t="s">
        <v>25</v>
      </c>
      <c r="H173" s="4" t="s">
        <v>25</v>
      </c>
      <c r="I173" s="5">
        <v>44774</v>
      </c>
      <c r="J173" s="6">
        <v>0</v>
      </c>
      <c r="K173" s="6">
        <v>0</v>
      </c>
      <c r="L173" s="6">
        <v>20.401</v>
      </c>
      <c r="M173" s="6">
        <v>20.401</v>
      </c>
      <c r="N173" s="6">
        <v>20.401</v>
      </c>
      <c r="O173" s="6">
        <v>20.401</v>
      </c>
      <c r="P173" s="6">
        <v>112</v>
      </c>
      <c r="Q173" s="4" t="s">
        <v>26</v>
      </c>
      <c r="R173" s="4">
        <v>0</v>
      </c>
      <c r="S173" s="6">
        <v>0</v>
      </c>
      <c r="T173" s="6">
        <v>32</v>
      </c>
      <c r="U173" s="6">
        <v>76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442.96</v>
      </c>
      <c r="X173" s="6">
        <f>IF(ISERROR(VLOOKUP($U$173,'TAR FIN'!$A$1:$O$85,15,0)),0,VLOOKUP($U$173,'TAR FIN'!$A$1:$O$85,15,0))</f>
        <v>185.74</v>
      </c>
      <c r="Y173" s="6"/>
      <c r="Z173" s="6">
        <f ca="1">('TUSD BE'!$AM$20+'TUSD BF'!$AM$20+'TUSD CVA'!$AM$20)*1</f>
        <v>519.26043781347539</v>
      </c>
      <c r="AA173" s="6">
        <f>('TE BE'!$AB$11+'TE BF'!$AB$11+'TE CVA'!$AB$11)*1</f>
        <v>166.7634981586946</v>
      </c>
      <c r="AB173" s="6">
        <f>$K$173*$V$173</f>
        <v>0</v>
      </c>
      <c r="AC173" s="6">
        <f>$M$173*$W$173</f>
        <v>9036.8269600000003</v>
      </c>
      <c r="AD173" s="6">
        <f>$O$173*$X$173</f>
        <v>3789.2817400000004</v>
      </c>
      <c r="AE173" s="6">
        <f>$K$173*$Y$173</f>
        <v>0</v>
      </c>
      <c r="AF173" s="6">
        <f ca="1">$M$173*$Z$173</f>
        <v>10593.432191832711</v>
      </c>
      <c r="AG173" s="6">
        <f>$O$173*$AA$173</f>
        <v>3402.1421259355284</v>
      </c>
    </row>
    <row r="174" spans="1:33" ht="11.25" customHeight="1" x14ac:dyDescent="0.3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29</v>
      </c>
      <c r="F174" s="4" t="s">
        <v>25</v>
      </c>
      <c r="G174" s="4" t="s">
        <v>25</v>
      </c>
      <c r="H174" s="4" t="s">
        <v>25</v>
      </c>
      <c r="I174" s="5">
        <v>44440</v>
      </c>
      <c r="J174" s="6">
        <v>0</v>
      </c>
      <c r="K174" s="6">
        <v>0</v>
      </c>
      <c r="L174" s="6">
        <v>6.03</v>
      </c>
      <c r="M174" s="6">
        <v>6.03</v>
      </c>
      <c r="N174" s="6">
        <v>6.03</v>
      </c>
      <c r="O174" s="6">
        <v>6.03</v>
      </c>
      <c r="P174" s="6">
        <v>13</v>
      </c>
      <c r="Q174" s="4" t="s">
        <v>26</v>
      </c>
      <c r="R174" s="4">
        <v>0</v>
      </c>
      <c r="S174" s="6">
        <v>0</v>
      </c>
      <c r="T174" s="6">
        <v>34</v>
      </c>
      <c r="U174" s="6">
        <v>77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131.37</v>
      </c>
      <c r="X174" s="6">
        <f>IF(ISERROR(VLOOKUP($U$174,'TAR FIN'!$A$1:$O$85,15,0)),0,VLOOKUP($U$174,'TAR FIN'!$A$1:$O$85,15,0))</f>
        <v>65.010000000000005</v>
      </c>
      <c r="Y174" s="6"/>
      <c r="Z174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74" s="6">
        <f>('TE BE'!$AB$12+'TE BF'!$AB$12+'TE CVA'!$AB$12)*(1-CUSTOS!$M$34)</f>
        <v>58.367224355543108</v>
      </c>
      <c r="AB174" s="6">
        <f>$K$174*$V$174</f>
        <v>0</v>
      </c>
      <c r="AC174" s="6">
        <f>$M$174*$W$174</f>
        <v>792.16110000000003</v>
      </c>
      <c r="AD174" s="6">
        <f>$O$174*$X$174</f>
        <v>392.01030000000003</v>
      </c>
      <c r="AE174" s="6">
        <f>$K$174*$Y$174</f>
        <v>0</v>
      </c>
      <c r="AF174" s="6">
        <f ca="1">$M$174*$Z$174</f>
        <v>871.5579499555605</v>
      </c>
      <c r="AG174" s="6">
        <f>$O$174*$AA$174</f>
        <v>351.95436286392493</v>
      </c>
    </row>
    <row r="175" spans="1:33" ht="11.25" customHeight="1" x14ac:dyDescent="0.3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29</v>
      </c>
      <c r="F175" s="4" t="s">
        <v>25</v>
      </c>
      <c r="G175" s="4" t="s">
        <v>25</v>
      </c>
      <c r="H175" s="4" t="s">
        <v>25</v>
      </c>
      <c r="I175" s="5">
        <v>44470</v>
      </c>
      <c r="J175" s="6">
        <v>0</v>
      </c>
      <c r="K175" s="6">
        <v>0</v>
      </c>
      <c r="L175" s="6">
        <v>6</v>
      </c>
      <c r="M175" s="6">
        <v>6</v>
      </c>
      <c r="N175" s="6">
        <v>6</v>
      </c>
      <c r="O175" s="6">
        <v>6</v>
      </c>
      <c r="P175" s="6">
        <v>14</v>
      </c>
      <c r="Q175" s="4" t="s">
        <v>26</v>
      </c>
      <c r="R175" s="4">
        <v>0</v>
      </c>
      <c r="S175" s="6">
        <v>0</v>
      </c>
      <c r="T175" s="6">
        <v>34</v>
      </c>
      <c r="U175" s="6">
        <v>77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131.37</v>
      </c>
      <c r="X175" s="6">
        <f>IF(ISERROR(VLOOKUP($U$175,'TAR FIN'!$A$1:$O$85,15,0)),0,VLOOKUP($U$175,'TAR FIN'!$A$1:$O$85,15,0))</f>
        <v>65.010000000000005</v>
      </c>
      <c r="Y175" s="6"/>
      <c r="Z175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75" s="6">
        <f>('TE BE'!$AB$12+'TE BF'!$AB$12+'TE CVA'!$AB$12)*(1-CUSTOS!$M$34)</f>
        <v>58.367224355543108</v>
      </c>
      <c r="AB175" s="6">
        <f>$K$175*$V$175</f>
        <v>0</v>
      </c>
      <c r="AC175" s="6">
        <f>$M$175*$W$175</f>
        <v>788.22</v>
      </c>
      <c r="AD175" s="6">
        <f>$O$175*$X$175</f>
        <v>390.06000000000006</v>
      </c>
      <c r="AE175" s="6">
        <f>$K$175*$Y$175</f>
        <v>0</v>
      </c>
      <c r="AF175" s="6">
        <f ca="1">$M$175*$Z$175</f>
        <v>867.22184075180144</v>
      </c>
      <c r="AG175" s="6">
        <f>$O$175*$AA$175</f>
        <v>350.20334613325866</v>
      </c>
    </row>
    <row r="176" spans="1:33" ht="11.25" customHeight="1" x14ac:dyDescent="0.3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29</v>
      </c>
      <c r="F176" s="4" t="s">
        <v>25</v>
      </c>
      <c r="G176" s="4" t="s">
        <v>25</v>
      </c>
      <c r="H176" s="4" t="s">
        <v>25</v>
      </c>
      <c r="I176" s="5">
        <v>44501</v>
      </c>
      <c r="J176" s="6">
        <v>0</v>
      </c>
      <c r="K176" s="6">
        <v>0</v>
      </c>
      <c r="L176" s="6">
        <v>6.03</v>
      </c>
      <c r="M176" s="6">
        <v>6.03</v>
      </c>
      <c r="N176" s="6">
        <v>6.03</v>
      </c>
      <c r="O176" s="6">
        <v>6.03</v>
      </c>
      <c r="P176" s="6">
        <v>11</v>
      </c>
      <c r="Q176" s="4" t="s">
        <v>26</v>
      </c>
      <c r="R176" s="4">
        <v>0</v>
      </c>
      <c r="S176" s="6">
        <v>0</v>
      </c>
      <c r="T176" s="6">
        <v>34</v>
      </c>
      <c r="U176" s="6">
        <v>77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131.37</v>
      </c>
      <c r="X176" s="6">
        <f>IF(ISERROR(VLOOKUP($U$176,'TAR FIN'!$A$1:$O$85,15,0)),0,VLOOKUP($U$176,'TAR FIN'!$A$1:$O$85,15,0))</f>
        <v>65.010000000000005</v>
      </c>
      <c r="Y176" s="6"/>
      <c r="Z176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76" s="6">
        <f>('TE BE'!$AB$12+'TE BF'!$AB$12+'TE CVA'!$AB$12)*(1-CUSTOS!$M$34)</f>
        <v>58.367224355543108</v>
      </c>
      <c r="AB176" s="6">
        <f>$K$176*$V$176</f>
        <v>0</v>
      </c>
      <c r="AC176" s="6">
        <f>$M$176*$W$176</f>
        <v>792.16110000000003</v>
      </c>
      <c r="AD176" s="6">
        <f>$O$176*$X$176</f>
        <v>392.01030000000003</v>
      </c>
      <c r="AE176" s="6">
        <f>$K$176*$Y$176</f>
        <v>0</v>
      </c>
      <c r="AF176" s="6">
        <f ca="1">$M$176*$Z$176</f>
        <v>871.5579499555605</v>
      </c>
      <c r="AG176" s="6">
        <f>$O$176*$AA$176</f>
        <v>351.95436286392493</v>
      </c>
    </row>
    <row r="177" spans="1:33" ht="11.25" customHeight="1" x14ac:dyDescent="0.3">
      <c r="A177" s="4" t="s">
        <v>27</v>
      </c>
      <c r="B177" s="4" t="s">
        <v>22</v>
      </c>
      <c r="C177" s="4" t="s">
        <v>23</v>
      </c>
      <c r="D177" s="4" t="s">
        <v>24</v>
      </c>
      <c r="E177" s="4" t="s">
        <v>29</v>
      </c>
      <c r="F177" s="4" t="s">
        <v>25</v>
      </c>
      <c r="G177" s="4" t="s">
        <v>25</v>
      </c>
      <c r="H177" s="4" t="s">
        <v>25</v>
      </c>
      <c r="I177" s="5">
        <v>44501</v>
      </c>
      <c r="J177" s="6">
        <v>0</v>
      </c>
      <c r="K177" s="6">
        <v>0</v>
      </c>
      <c r="L177" s="6">
        <v>-5.0000000000000001E-3</v>
      </c>
      <c r="M177" s="6">
        <v>-5.0000000000000001E-3</v>
      </c>
      <c r="N177" s="6">
        <v>-5.0000000000000001E-3</v>
      </c>
      <c r="O177" s="6">
        <v>-5.0000000000000001E-3</v>
      </c>
      <c r="P177" s="6">
        <v>0</v>
      </c>
      <c r="Q177" s="4" t="s">
        <v>26</v>
      </c>
      <c r="R177" s="4">
        <v>0</v>
      </c>
      <c r="S177" s="6">
        <v>0</v>
      </c>
      <c r="T177" s="6">
        <v>34</v>
      </c>
      <c r="U177" s="6">
        <v>77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131.37</v>
      </c>
      <c r="X177" s="6">
        <f>IF(ISERROR(VLOOKUP($U$177,'TAR FIN'!$A$1:$O$85,15,0)),0,VLOOKUP($U$177,'TAR FIN'!$A$1:$O$85,15,0))</f>
        <v>65.010000000000005</v>
      </c>
      <c r="Y177" s="6"/>
      <c r="Z177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77" s="6">
        <f>('TE BE'!$AB$12+'TE BF'!$AB$12+'TE CVA'!$AB$12)*(1-CUSTOS!$M$34)</f>
        <v>58.367224355543108</v>
      </c>
      <c r="AB177" s="6">
        <f>$K$177*$V$177</f>
        <v>0</v>
      </c>
      <c r="AC177" s="6">
        <f>$M$177*$W$177</f>
        <v>-0.65685000000000004</v>
      </c>
      <c r="AD177" s="6">
        <f>$O$177*$X$177</f>
        <v>-0.32505000000000001</v>
      </c>
      <c r="AE177" s="6">
        <f>$K$177*$Y$177</f>
        <v>0</v>
      </c>
      <c r="AF177" s="6">
        <f ca="1">$M$177*$Z$177</f>
        <v>-0.72268486729316794</v>
      </c>
      <c r="AG177" s="6">
        <f>$O$177*$AA$177</f>
        <v>-0.29183612177771556</v>
      </c>
    </row>
    <row r="178" spans="1:33" ht="11.25" customHeight="1" x14ac:dyDescent="0.3">
      <c r="A178" s="4" t="s">
        <v>28</v>
      </c>
      <c r="B178" s="4" t="s">
        <v>22</v>
      </c>
      <c r="C178" s="4" t="s">
        <v>23</v>
      </c>
      <c r="D178" s="4" t="s">
        <v>24</v>
      </c>
      <c r="E178" s="4" t="s">
        <v>29</v>
      </c>
      <c r="F178" s="4" t="s">
        <v>25</v>
      </c>
      <c r="G178" s="4" t="s">
        <v>25</v>
      </c>
      <c r="H178" s="4" t="s">
        <v>25</v>
      </c>
      <c r="I178" s="5">
        <v>44501</v>
      </c>
      <c r="J178" s="6">
        <v>0</v>
      </c>
      <c r="K178" s="6">
        <v>0</v>
      </c>
      <c r="L178" s="6">
        <v>0.03</v>
      </c>
      <c r="M178" s="6">
        <v>1.0500000000000001E-2</v>
      </c>
      <c r="N178" s="6">
        <v>0.03</v>
      </c>
      <c r="O178" s="6">
        <v>1.0500000000000001E-2</v>
      </c>
      <c r="P178" s="6">
        <v>0</v>
      </c>
      <c r="Q178" s="4" t="s">
        <v>26</v>
      </c>
      <c r="R178" s="4">
        <v>0</v>
      </c>
      <c r="S178" s="6">
        <v>0</v>
      </c>
      <c r="T178" s="6">
        <v>34</v>
      </c>
      <c r="U178" s="6">
        <v>77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131.37</v>
      </c>
      <c r="X178" s="6">
        <f>IF(ISERROR(VLOOKUP($U$178,'TAR FIN'!$A$1:$O$85,15,0)),0,VLOOKUP($U$178,'TAR FIN'!$A$1:$O$85,15,0))</f>
        <v>65.010000000000005</v>
      </c>
      <c r="Y178" s="6"/>
      <c r="Z178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78" s="6">
        <f>('TE BE'!$AB$12+'TE BF'!$AB$12+'TE CVA'!$AB$12)*(1-CUSTOS!$M$34)</f>
        <v>58.367224355543108</v>
      </c>
      <c r="AB178" s="6">
        <f>$K$178*$V$178</f>
        <v>0</v>
      </c>
      <c r="AC178" s="6">
        <f>$M$178*$W$178</f>
        <v>1.3793850000000001</v>
      </c>
      <c r="AD178" s="6">
        <f>$O$178*$X$178</f>
        <v>0.68260500000000013</v>
      </c>
      <c r="AE178" s="6">
        <f>$K$178*$Y$178</f>
        <v>0</v>
      </c>
      <c r="AF178" s="6">
        <f ca="1">$M$178*$Z$178</f>
        <v>1.5176382213156527</v>
      </c>
      <c r="AG178" s="6">
        <f>$O$178*$AA$178</f>
        <v>0.61285585573320267</v>
      </c>
    </row>
    <row r="179" spans="1:33" ht="11.25" customHeight="1" x14ac:dyDescent="0.3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29</v>
      </c>
      <c r="F179" s="4" t="s">
        <v>25</v>
      </c>
      <c r="G179" s="4" t="s">
        <v>25</v>
      </c>
      <c r="H179" s="4" t="s">
        <v>25</v>
      </c>
      <c r="I179" s="5">
        <v>44531</v>
      </c>
      <c r="J179" s="6">
        <v>0</v>
      </c>
      <c r="K179" s="6">
        <v>0</v>
      </c>
      <c r="L179" s="6">
        <v>6.03</v>
      </c>
      <c r="M179" s="6">
        <v>6.03</v>
      </c>
      <c r="N179" s="6">
        <v>6.03</v>
      </c>
      <c r="O179" s="6">
        <v>6.03</v>
      </c>
      <c r="P179" s="6">
        <v>12</v>
      </c>
      <c r="Q179" s="4" t="s">
        <v>26</v>
      </c>
      <c r="R179" s="4">
        <v>0</v>
      </c>
      <c r="S179" s="6">
        <v>0</v>
      </c>
      <c r="T179" s="6">
        <v>34</v>
      </c>
      <c r="U179" s="6">
        <v>77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131.37</v>
      </c>
      <c r="X179" s="6">
        <f>IF(ISERROR(VLOOKUP($U$179,'TAR FIN'!$A$1:$O$85,15,0)),0,VLOOKUP($U$179,'TAR FIN'!$A$1:$O$85,15,0))</f>
        <v>65.010000000000005</v>
      </c>
      <c r="Y179" s="6"/>
      <c r="Z179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79" s="6">
        <f>('TE BE'!$AB$12+'TE BF'!$AB$12+'TE CVA'!$AB$12)*(1-CUSTOS!$M$34)</f>
        <v>58.367224355543108</v>
      </c>
      <c r="AB179" s="6">
        <f>$K$179*$V$179</f>
        <v>0</v>
      </c>
      <c r="AC179" s="6">
        <f>$M$179*$W$179</f>
        <v>792.16110000000003</v>
      </c>
      <c r="AD179" s="6">
        <f>$O$179*$X$179</f>
        <v>392.01030000000003</v>
      </c>
      <c r="AE179" s="6">
        <f>$K$179*$Y$179</f>
        <v>0</v>
      </c>
      <c r="AF179" s="6">
        <f ca="1">$M$179*$Z$179</f>
        <v>871.5579499555605</v>
      </c>
      <c r="AG179" s="6">
        <f>$O$179*$AA$179</f>
        <v>351.95436286392493</v>
      </c>
    </row>
    <row r="180" spans="1:33" ht="11.25" customHeight="1" x14ac:dyDescent="0.3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29</v>
      </c>
      <c r="F180" s="4" t="s">
        <v>25</v>
      </c>
      <c r="G180" s="4" t="s">
        <v>25</v>
      </c>
      <c r="H180" s="4" t="s">
        <v>25</v>
      </c>
      <c r="I180" s="5">
        <v>44562</v>
      </c>
      <c r="J180" s="6">
        <v>0</v>
      </c>
      <c r="K180" s="6">
        <v>0</v>
      </c>
      <c r="L180" s="6">
        <v>5.97</v>
      </c>
      <c r="M180" s="6">
        <v>5.97</v>
      </c>
      <c r="N180" s="6">
        <v>5.97</v>
      </c>
      <c r="O180" s="6">
        <v>5.97</v>
      </c>
      <c r="P180" s="6">
        <v>10</v>
      </c>
      <c r="Q180" s="4" t="s">
        <v>26</v>
      </c>
      <c r="R180" s="4">
        <v>0</v>
      </c>
      <c r="S180" s="6">
        <v>0</v>
      </c>
      <c r="T180" s="6">
        <v>34</v>
      </c>
      <c r="U180" s="6">
        <v>77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131.37</v>
      </c>
      <c r="X180" s="6">
        <f>IF(ISERROR(VLOOKUP($U$180,'TAR FIN'!$A$1:$O$85,15,0)),0,VLOOKUP($U$180,'TAR FIN'!$A$1:$O$85,15,0))</f>
        <v>65.010000000000005</v>
      </c>
      <c r="Y180" s="6"/>
      <c r="Z180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80" s="6">
        <f>('TE BE'!$AB$12+'TE BF'!$AB$12+'TE CVA'!$AB$12)*(1-CUSTOS!$M$34)</f>
        <v>58.367224355543108</v>
      </c>
      <c r="AB180" s="6">
        <f>$K$180*$V$180</f>
        <v>0</v>
      </c>
      <c r="AC180" s="6">
        <f>$M$180*$W$180</f>
        <v>784.27890000000002</v>
      </c>
      <c r="AD180" s="6">
        <f>$O$180*$X$180</f>
        <v>388.10970000000003</v>
      </c>
      <c r="AE180" s="6">
        <f>$K$180*$Y$180</f>
        <v>0</v>
      </c>
      <c r="AF180" s="6">
        <f ca="1">$M$180*$Z$180</f>
        <v>862.88573154804249</v>
      </c>
      <c r="AG180" s="6">
        <f>$O$180*$AA$180</f>
        <v>348.45232940259234</v>
      </c>
    </row>
    <row r="181" spans="1:33" ht="11.25" customHeight="1" x14ac:dyDescent="0.3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29</v>
      </c>
      <c r="F181" s="4" t="s">
        <v>25</v>
      </c>
      <c r="G181" s="4" t="s">
        <v>25</v>
      </c>
      <c r="H181" s="4" t="s">
        <v>25</v>
      </c>
      <c r="I181" s="5">
        <v>44593</v>
      </c>
      <c r="J181" s="6">
        <v>0</v>
      </c>
      <c r="K181" s="6">
        <v>0</v>
      </c>
      <c r="L181" s="6">
        <v>5.7750000000000004</v>
      </c>
      <c r="M181" s="6">
        <v>5.7750000000000004</v>
      </c>
      <c r="N181" s="6">
        <v>5.7750000000000004</v>
      </c>
      <c r="O181" s="6">
        <v>5.7750000000000004</v>
      </c>
      <c r="P181" s="6">
        <v>9</v>
      </c>
      <c r="Q181" s="4" t="s">
        <v>26</v>
      </c>
      <c r="R181" s="4">
        <v>0</v>
      </c>
      <c r="S181" s="6">
        <v>0</v>
      </c>
      <c r="T181" s="6">
        <v>34</v>
      </c>
      <c r="U181" s="6">
        <v>77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131.37</v>
      </c>
      <c r="X181" s="6">
        <f>IF(ISERROR(VLOOKUP($U$181,'TAR FIN'!$A$1:$O$85,15,0)),0,VLOOKUP($U$181,'TAR FIN'!$A$1:$O$85,15,0))</f>
        <v>65.010000000000005</v>
      </c>
      <c r="Y181" s="6"/>
      <c r="Z181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81" s="6">
        <f>('TE BE'!$AB$12+'TE BF'!$AB$12+'TE CVA'!$AB$12)*(1-CUSTOS!$M$34)</f>
        <v>58.367224355543108</v>
      </c>
      <c r="AB181" s="6">
        <f>$K$181*$V$181</f>
        <v>0</v>
      </c>
      <c r="AC181" s="6">
        <f>$M$181*$W$181</f>
        <v>758.6617500000001</v>
      </c>
      <c r="AD181" s="6">
        <f>$O$181*$X$181</f>
        <v>375.43275000000006</v>
      </c>
      <c r="AE181" s="6">
        <f>$K$181*$Y$181</f>
        <v>0</v>
      </c>
      <c r="AF181" s="6">
        <f ca="1">$M$181*$Z$181</f>
        <v>834.70102172360896</v>
      </c>
      <c r="AG181" s="6">
        <f>$O$181*$AA$181</f>
        <v>337.07072065326145</v>
      </c>
    </row>
    <row r="182" spans="1:33" ht="11.25" customHeight="1" x14ac:dyDescent="0.3">
      <c r="A182" s="4" t="s">
        <v>28</v>
      </c>
      <c r="B182" s="4" t="s">
        <v>22</v>
      </c>
      <c r="C182" s="4" t="s">
        <v>23</v>
      </c>
      <c r="D182" s="4" t="s">
        <v>24</v>
      </c>
      <c r="E182" s="4" t="s">
        <v>29</v>
      </c>
      <c r="F182" s="4" t="s">
        <v>25</v>
      </c>
      <c r="G182" s="4" t="s">
        <v>25</v>
      </c>
      <c r="H182" s="4" t="s">
        <v>25</v>
      </c>
      <c r="I182" s="5">
        <v>44593</v>
      </c>
      <c r="J182" s="6">
        <v>0</v>
      </c>
      <c r="K182" s="6">
        <v>0</v>
      </c>
      <c r="L182" s="6">
        <v>0.03</v>
      </c>
      <c r="M182" s="6">
        <v>1.0500000000000001E-2</v>
      </c>
      <c r="N182" s="6">
        <v>0.03</v>
      </c>
      <c r="O182" s="6">
        <v>1.0500000000000001E-2</v>
      </c>
      <c r="P182" s="6">
        <v>0</v>
      </c>
      <c r="Q182" s="4" t="s">
        <v>26</v>
      </c>
      <c r="R182" s="4">
        <v>0</v>
      </c>
      <c r="S182" s="6">
        <v>0</v>
      </c>
      <c r="T182" s="6">
        <v>34</v>
      </c>
      <c r="U182" s="6">
        <v>77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131.37</v>
      </c>
      <c r="X182" s="6">
        <f>IF(ISERROR(VLOOKUP($U$182,'TAR FIN'!$A$1:$O$85,15,0)),0,VLOOKUP($U$182,'TAR FIN'!$A$1:$O$85,15,0))</f>
        <v>65.010000000000005</v>
      </c>
      <c r="Y182" s="6"/>
      <c r="Z182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82" s="6">
        <f>('TE BE'!$AB$12+'TE BF'!$AB$12+'TE CVA'!$AB$12)*(1-CUSTOS!$M$34)</f>
        <v>58.367224355543108</v>
      </c>
      <c r="AB182" s="6">
        <f>$K$182*$V$182</f>
        <v>0</v>
      </c>
      <c r="AC182" s="6">
        <f>$M$182*$W$182</f>
        <v>1.3793850000000001</v>
      </c>
      <c r="AD182" s="6">
        <f>$O$182*$X$182</f>
        <v>0.68260500000000013</v>
      </c>
      <c r="AE182" s="6">
        <f>$K$182*$Y$182</f>
        <v>0</v>
      </c>
      <c r="AF182" s="6">
        <f ca="1">$M$182*$Z$182</f>
        <v>1.5176382213156527</v>
      </c>
      <c r="AG182" s="6">
        <f>$O$182*$AA$182</f>
        <v>0.61285585573320267</v>
      </c>
    </row>
    <row r="183" spans="1:33" ht="11.25" customHeight="1" x14ac:dyDescent="0.3">
      <c r="A183" s="4" t="s">
        <v>21</v>
      </c>
      <c r="B183" s="4" t="s">
        <v>22</v>
      </c>
      <c r="C183" s="4" t="s">
        <v>23</v>
      </c>
      <c r="D183" s="4" t="s">
        <v>24</v>
      </c>
      <c r="E183" s="4" t="s">
        <v>29</v>
      </c>
      <c r="F183" s="4" t="s">
        <v>25</v>
      </c>
      <c r="G183" s="4" t="s">
        <v>25</v>
      </c>
      <c r="H183" s="4" t="s">
        <v>25</v>
      </c>
      <c r="I183" s="5">
        <v>44621</v>
      </c>
      <c r="J183" s="6">
        <v>0</v>
      </c>
      <c r="K183" s="6">
        <v>0</v>
      </c>
      <c r="L183" s="6">
        <v>6.54</v>
      </c>
      <c r="M183" s="6">
        <v>6.54</v>
      </c>
      <c r="N183" s="6">
        <v>6.54</v>
      </c>
      <c r="O183" s="6">
        <v>6.54</v>
      </c>
      <c r="P183" s="6">
        <v>13</v>
      </c>
      <c r="Q183" s="4" t="s">
        <v>26</v>
      </c>
      <c r="R183" s="4">
        <v>0</v>
      </c>
      <c r="S183" s="6">
        <v>0</v>
      </c>
      <c r="T183" s="6">
        <v>34</v>
      </c>
      <c r="U183" s="6">
        <v>77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131.37</v>
      </c>
      <c r="X183" s="6">
        <f>IF(ISERROR(VLOOKUP($U$183,'TAR FIN'!$A$1:$O$85,15,0)),0,VLOOKUP($U$183,'TAR FIN'!$A$1:$O$85,15,0))</f>
        <v>65.010000000000005</v>
      </c>
      <c r="Y183" s="6"/>
      <c r="Z183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83" s="6">
        <f>('TE BE'!$AB$12+'TE BF'!$AB$12+'TE CVA'!$AB$12)*(1-CUSTOS!$M$34)</f>
        <v>58.367224355543108</v>
      </c>
      <c r="AB183" s="6">
        <f>$K$183*$V$183</f>
        <v>0</v>
      </c>
      <c r="AC183" s="6">
        <f>$M$183*$W$183</f>
        <v>859.15980000000002</v>
      </c>
      <c r="AD183" s="6">
        <f>$O$183*$X$183</f>
        <v>425.16540000000003</v>
      </c>
      <c r="AE183" s="6">
        <f>$K$183*$Y$183</f>
        <v>0</v>
      </c>
      <c r="AF183" s="6">
        <f ca="1">$M$183*$Z$183</f>
        <v>945.27180641946359</v>
      </c>
      <c r="AG183" s="6">
        <f>$O$183*$AA$183</f>
        <v>381.72164728525195</v>
      </c>
    </row>
    <row r="184" spans="1:33" ht="11.25" customHeight="1" x14ac:dyDescent="0.3">
      <c r="A184" s="4" t="s">
        <v>28</v>
      </c>
      <c r="B184" s="4" t="s">
        <v>22</v>
      </c>
      <c r="C184" s="4" t="s">
        <v>23</v>
      </c>
      <c r="D184" s="4" t="s">
        <v>24</v>
      </c>
      <c r="E184" s="4" t="s">
        <v>29</v>
      </c>
      <c r="F184" s="4" t="s">
        <v>25</v>
      </c>
      <c r="G184" s="4" t="s">
        <v>25</v>
      </c>
      <c r="H184" s="4" t="s">
        <v>25</v>
      </c>
      <c r="I184" s="5">
        <v>44621</v>
      </c>
      <c r="J184" s="6">
        <v>0</v>
      </c>
      <c r="K184" s="6">
        <v>0</v>
      </c>
      <c r="L184" s="6">
        <v>0.03</v>
      </c>
      <c r="M184" s="6">
        <v>1.0500000000000001E-2</v>
      </c>
      <c r="N184" s="6">
        <v>0.03</v>
      </c>
      <c r="O184" s="6">
        <v>1.0500000000000001E-2</v>
      </c>
      <c r="P184" s="6">
        <v>0</v>
      </c>
      <c r="Q184" s="4" t="s">
        <v>26</v>
      </c>
      <c r="R184" s="4">
        <v>0</v>
      </c>
      <c r="S184" s="6">
        <v>0</v>
      </c>
      <c r="T184" s="6">
        <v>34</v>
      </c>
      <c r="U184" s="6">
        <v>77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131.37</v>
      </c>
      <c r="X184" s="6">
        <f>IF(ISERROR(VLOOKUP($U$184,'TAR FIN'!$A$1:$O$85,15,0)),0,VLOOKUP($U$184,'TAR FIN'!$A$1:$O$85,15,0))</f>
        <v>65.010000000000005</v>
      </c>
      <c r="Y184" s="6"/>
      <c r="Z184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84" s="6">
        <f>('TE BE'!$AB$12+'TE BF'!$AB$12+'TE CVA'!$AB$12)*(1-CUSTOS!$M$34)</f>
        <v>58.367224355543108</v>
      </c>
      <c r="AB184" s="6">
        <f>$K$184*$V$184</f>
        <v>0</v>
      </c>
      <c r="AC184" s="6">
        <f>$M$184*$W$184</f>
        <v>1.3793850000000001</v>
      </c>
      <c r="AD184" s="6">
        <f>$O$184*$X$184</f>
        <v>0.68260500000000013</v>
      </c>
      <c r="AE184" s="6">
        <f>$K$184*$Y$184</f>
        <v>0</v>
      </c>
      <c r="AF184" s="6">
        <f ca="1">$M$184*$Z$184</f>
        <v>1.5176382213156527</v>
      </c>
      <c r="AG184" s="6">
        <f>$O$184*$AA$184</f>
        <v>0.61285585573320267</v>
      </c>
    </row>
    <row r="185" spans="1:33" ht="11.25" customHeight="1" x14ac:dyDescent="0.3">
      <c r="A185" s="4" t="s">
        <v>21</v>
      </c>
      <c r="B185" s="4" t="s">
        <v>22</v>
      </c>
      <c r="C185" s="4" t="s">
        <v>23</v>
      </c>
      <c r="D185" s="4" t="s">
        <v>24</v>
      </c>
      <c r="E185" s="4" t="s">
        <v>29</v>
      </c>
      <c r="F185" s="4" t="s">
        <v>25</v>
      </c>
      <c r="G185" s="4" t="s">
        <v>25</v>
      </c>
      <c r="H185" s="4" t="s">
        <v>25</v>
      </c>
      <c r="I185" s="5">
        <v>44652</v>
      </c>
      <c r="J185" s="6">
        <v>0</v>
      </c>
      <c r="K185" s="6">
        <v>0</v>
      </c>
      <c r="L185" s="6">
        <v>11.1</v>
      </c>
      <c r="M185" s="6">
        <v>11.1</v>
      </c>
      <c r="N185" s="6">
        <v>11.1</v>
      </c>
      <c r="O185" s="6">
        <v>11.1</v>
      </c>
      <c r="P185" s="6">
        <v>31</v>
      </c>
      <c r="Q185" s="4" t="s">
        <v>26</v>
      </c>
      <c r="R185" s="4">
        <v>0</v>
      </c>
      <c r="S185" s="6">
        <v>0</v>
      </c>
      <c r="T185" s="6">
        <v>34</v>
      </c>
      <c r="U185" s="6">
        <v>77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131.37</v>
      </c>
      <c r="X185" s="6">
        <f>IF(ISERROR(VLOOKUP($U$185,'TAR FIN'!$A$1:$O$85,15,0)),0,VLOOKUP($U$185,'TAR FIN'!$A$1:$O$85,15,0))</f>
        <v>65.010000000000005</v>
      </c>
      <c r="Y185" s="6"/>
      <c r="Z185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85" s="6">
        <f>('TE BE'!$AB$12+'TE BF'!$AB$12+'TE CVA'!$AB$12)*(1-CUSTOS!$M$34)</f>
        <v>58.367224355543108</v>
      </c>
      <c r="AB185" s="6">
        <f>$K$185*$V$185</f>
        <v>0</v>
      </c>
      <c r="AC185" s="6">
        <f>$M$185*$W$185</f>
        <v>1458.2070000000001</v>
      </c>
      <c r="AD185" s="6">
        <f>$O$185*$X$185</f>
        <v>721.61099999999999</v>
      </c>
      <c r="AE185" s="6">
        <f>$K$185*$Y$185</f>
        <v>0</v>
      </c>
      <c r="AF185" s="6">
        <f ca="1">$M$185*$Z$185</f>
        <v>1604.3604053908327</v>
      </c>
      <c r="AG185" s="6">
        <f>$O$185*$AA$185</f>
        <v>647.87619034652846</v>
      </c>
    </row>
    <row r="186" spans="1:33" ht="11.25" customHeight="1" x14ac:dyDescent="0.3">
      <c r="A186" s="4" t="s">
        <v>27</v>
      </c>
      <c r="B186" s="4" t="s">
        <v>22</v>
      </c>
      <c r="C186" s="4" t="s">
        <v>23</v>
      </c>
      <c r="D186" s="4" t="s">
        <v>24</v>
      </c>
      <c r="E186" s="4" t="s">
        <v>29</v>
      </c>
      <c r="F186" s="4" t="s">
        <v>25</v>
      </c>
      <c r="G186" s="4" t="s">
        <v>25</v>
      </c>
      <c r="H186" s="4" t="s">
        <v>25</v>
      </c>
      <c r="I186" s="5">
        <v>44652</v>
      </c>
      <c r="J186" s="6">
        <v>0</v>
      </c>
      <c r="K186" s="6">
        <v>0</v>
      </c>
      <c r="L186" s="6">
        <v>-0.03</v>
      </c>
      <c r="M186" s="6">
        <v>-0.03</v>
      </c>
      <c r="N186" s="6">
        <v>-0.03</v>
      </c>
      <c r="O186" s="6">
        <v>-0.03</v>
      </c>
      <c r="P186" s="6">
        <v>0</v>
      </c>
      <c r="Q186" s="4" t="s">
        <v>26</v>
      </c>
      <c r="R186" s="4">
        <v>0</v>
      </c>
      <c r="S186" s="6">
        <v>0</v>
      </c>
      <c r="T186" s="6">
        <v>34</v>
      </c>
      <c r="U186" s="6">
        <v>77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131.37</v>
      </c>
      <c r="X186" s="6">
        <f>IF(ISERROR(VLOOKUP($U$186,'TAR FIN'!$A$1:$O$85,15,0)),0,VLOOKUP($U$186,'TAR FIN'!$A$1:$O$85,15,0))</f>
        <v>65.010000000000005</v>
      </c>
      <c r="Y186" s="6"/>
      <c r="Z186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86" s="6">
        <f>('TE BE'!$AB$12+'TE BF'!$AB$12+'TE CVA'!$AB$12)*(1-CUSTOS!$M$34)</f>
        <v>58.367224355543108</v>
      </c>
      <c r="AB186" s="6">
        <f>$K$186*$V$186</f>
        <v>0</v>
      </c>
      <c r="AC186" s="6">
        <f>$M$186*$W$186</f>
        <v>-3.9411</v>
      </c>
      <c r="AD186" s="6">
        <f>$O$186*$X$186</f>
        <v>-1.9503000000000001</v>
      </c>
      <c r="AE186" s="6">
        <f>$K$186*$Y$186</f>
        <v>0</v>
      </c>
      <c r="AF186" s="6">
        <f ca="1">$M$186*$Z$186</f>
        <v>-4.3361092037590074</v>
      </c>
      <c r="AG186" s="6">
        <f>$O$186*$AA$186</f>
        <v>-1.7510167306662932</v>
      </c>
    </row>
    <row r="187" spans="1:33" ht="11.25" customHeight="1" x14ac:dyDescent="0.3">
      <c r="A187" s="4" t="s">
        <v>28</v>
      </c>
      <c r="B187" s="4" t="s">
        <v>22</v>
      </c>
      <c r="C187" s="4" t="s">
        <v>23</v>
      </c>
      <c r="D187" s="4" t="s">
        <v>24</v>
      </c>
      <c r="E187" s="4" t="s">
        <v>29</v>
      </c>
      <c r="F187" s="4" t="s">
        <v>25</v>
      </c>
      <c r="G187" s="4" t="s">
        <v>25</v>
      </c>
      <c r="H187" s="4" t="s">
        <v>25</v>
      </c>
      <c r="I187" s="5">
        <v>44652</v>
      </c>
      <c r="J187" s="6">
        <v>0</v>
      </c>
      <c r="K187" s="6">
        <v>0</v>
      </c>
      <c r="L187" s="6">
        <v>5.2999999999999999E-2</v>
      </c>
      <c r="M187" s="6">
        <v>-5.0349999999999999E-2</v>
      </c>
      <c r="N187" s="6">
        <v>5.2999999999999999E-2</v>
      </c>
      <c r="O187" s="6">
        <v>-5.0349999999999999E-2</v>
      </c>
      <c r="P187" s="6">
        <v>0</v>
      </c>
      <c r="Q187" s="4" t="s">
        <v>26</v>
      </c>
      <c r="R187" s="4">
        <v>0</v>
      </c>
      <c r="S187" s="6">
        <v>0</v>
      </c>
      <c r="T187" s="6">
        <v>34</v>
      </c>
      <c r="U187" s="6">
        <v>77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131.37</v>
      </c>
      <c r="X187" s="6">
        <f>IF(ISERROR(VLOOKUP($U$187,'TAR FIN'!$A$1:$O$85,15,0)),0,VLOOKUP($U$187,'TAR FIN'!$A$1:$O$85,15,0))</f>
        <v>65.010000000000005</v>
      </c>
      <c r="Y187" s="6"/>
      <c r="Z187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87" s="6">
        <f>('TE BE'!$AB$12+'TE BF'!$AB$12+'TE CVA'!$AB$12)*(1-CUSTOS!$M$34)</f>
        <v>58.367224355543108</v>
      </c>
      <c r="AB187" s="6">
        <f>$K$187*$V$187</f>
        <v>0</v>
      </c>
      <c r="AC187" s="6">
        <f>$M$187*$W$187</f>
        <v>-6.6144794999999998</v>
      </c>
      <c r="AD187" s="6">
        <f>$O$187*$X$187</f>
        <v>-3.2732535</v>
      </c>
      <c r="AE187" s="6">
        <f>$K$187*$Y$187</f>
        <v>0</v>
      </c>
      <c r="AF187" s="6">
        <f ca="1">$M$187*$Z$187</f>
        <v>-7.2774366136422008</v>
      </c>
      <c r="AG187" s="6">
        <f>$O$187*$AA$187</f>
        <v>-2.9387897463015955</v>
      </c>
    </row>
    <row r="188" spans="1:33" ht="11.25" customHeight="1" x14ac:dyDescent="0.3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29</v>
      </c>
      <c r="F188" s="4" t="s">
        <v>25</v>
      </c>
      <c r="G188" s="4" t="s">
        <v>25</v>
      </c>
      <c r="H188" s="4" t="s">
        <v>25</v>
      </c>
      <c r="I188" s="5">
        <v>44682</v>
      </c>
      <c r="J188" s="6">
        <v>0</v>
      </c>
      <c r="K188" s="6">
        <v>0</v>
      </c>
      <c r="L188" s="6">
        <v>8.52</v>
      </c>
      <c r="M188" s="6">
        <v>8.52</v>
      </c>
      <c r="N188" s="6">
        <v>8.52</v>
      </c>
      <c r="O188" s="6">
        <v>8.52</v>
      </c>
      <c r="P188" s="6">
        <v>26</v>
      </c>
      <c r="Q188" s="4" t="s">
        <v>26</v>
      </c>
      <c r="R188" s="4">
        <v>0</v>
      </c>
      <c r="S188" s="6">
        <v>0</v>
      </c>
      <c r="T188" s="6">
        <v>34</v>
      </c>
      <c r="U188" s="6">
        <v>77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131.37</v>
      </c>
      <c r="X188" s="6">
        <f>IF(ISERROR(VLOOKUP($U$188,'TAR FIN'!$A$1:$O$85,15,0)),0,VLOOKUP($U$188,'TAR FIN'!$A$1:$O$85,15,0))</f>
        <v>65.010000000000005</v>
      </c>
      <c r="Y188" s="6"/>
      <c r="Z188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88" s="6">
        <f>('TE BE'!$AB$12+'TE BF'!$AB$12+'TE CVA'!$AB$12)*(1-CUSTOS!$M$34)</f>
        <v>58.367224355543108</v>
      </c>
      <c r="AB188" s="6">
        <f>$K$188*$V$188</f>
        <v>0</v>
      </c>
      <c r="AC188" s="6">
        <f>$M$188*$W$188</f>
        <v>1119.2724000000001</v>
      </c>
      <c r="AD188" s="6">
        <f>$O$188*$X$188</f>
        <v>553.88520000000005</v>
      </c>
      <c r="AE188" s="6">
        <f>$K$188*$Y$188</f>
        <v>0</v>
      </c>
      <c r="AF188" s="6">
        <f ca="1">$M$188*$Z$188</f>
        <v>1231.4550138675581</v>
      </c>
      <c r="AG188" s="6">
        <f>$O$188*$AA$188</f>
        <v>497.28875150922727</v>
      </c>
    </row>
    <row r="189" spans="1:33" ht="11.25" customHeight="1" x14ac:dyDescent="0.3">
      <c r="A189" s="4" t="s">
        <v>28</v>
      </c>
      <c r="B189" s="4" t="s">
        <v>22</v>
      </c>
      <c r="C189" s="4" t="s">
        <v>23</v>
      </c>
      <c r="D189" s="4" t="s">
        <v>24</v>
      </c>
      <c r="E189" s="4" t="s">
        <v>29</v>
      </c>
      <c r="F189" s="4" t="s">
        <v>25</v>
      </c>
      <c r="G189" s="4" t="s">
        <v>25</v>
      </c>
      <c r="H189" s="4" t="s">
        <v>25</v>
      </c>
      <c r="I189" s="5">
        <v>44682</v>
      </c>
      <c r="J189" s="6">
        <v>0</v>
      </c>
      <c r="K189" s="6">
        <v>0</v>
      </c>
      <c r="L189" s="6">
        <v>0.03</v>
      </c>
      <c r="M189" s="6">
        <v>-2.8500000000000001E-2</v>
      </c>
      <c r="N189" s="6">
        <v>0.03</v>
      </c>
      <c r="O189" s="6">
        <v>-2.8500000000000001E-2</v>
      </c>
      <c r="P189" s="6">
        <v>0</v>
      </c>
      <c r="Q189" s="4" t="s">
        <v>26</v>
      </c>
      <c r="R189" s="4">
        <v>0</v>
      </c>
      <c r="S189" s="6">
        <v>0</v>
      </c>
      <c r="T189" s="6">
        <v>34</v>
      </c>
      <c r="U189" s="6">
        <v>77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131.37</v>
      </c>
      <c r="X189" s="6">
        <f>IF(ISERROR(VLOOKUP($U$189,'TAR FIN'!$A$1:$O$85,15,0)),0,VLOOKUP($U$189,'TAR FIN'!$A$1:$O$85,15,0))</f>
        <v>65.010000000000005</v>
      </c>
      <c r="Y189" s="6"/>
      <c r="Z189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89" s="6">
        <f>('TE BE'!$AB$12+'TE BF'!$AB$12+'TE CVA'!$AB$12)*(1-CUSTOS!$M$34)</f>
        <v>58.367224355543108</v>
      </c>
      <c r="AB189" s="6">
        <f>$K$189*$V$189</f>
        <v>0</v>
      </c>
      <c r="AC189" s="6">
        <f>$M$189*$W$189</f>
        <v>-3.7440450000000003</v>
      </c>
      <c r="AD189" s="6">
        <f>$O$189*$X$189</f>
        <v>-1.8527850000000001</v>
      </c>
      <c r="AE189" s="6">
        <f>$K$189*$Y$189</f>
        <v>0</v>
      </c>
      <c r="AF189" s="6">
        <f ca="1">$M$189*$Z$189</f>
        <v>-4.1193037435710576</v>
      </c>
      <c r="AG189" s="6">
        <f>$O$189*$AA$189</f>
        <v>-1.6634658941329787</v>
      </c>
    </row>
    <row r="190" spans="1:33" ht="11.25" customHeight="1" x14ac:dyDescent="0.3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29</v>
      </c>
      <c r="F190" s="4" t="s">
        <v>25</v>
      </c>
      <c r="G190" s="4" t="s">
        <v>25</v>
      </c>
      <c r="H190" s="4" t="s">
        <v>25</v>
      </c>
      <c r="I190" s="5">
        <v>44713</v>
      </c>
      <c r="J190" s="6">
        <v>0</v>
      </c>
      <c r="K190" s="6">
        <v>0</v>
      </c>
      <c r="L190" s="6">
        <v>8.6999999999999993</v>
      </c>
      <c r="M190" s="6">
        <v>8.6999999999999993</v>
      </c>
      <c r="N190" s="6">
        <v>8.6999999999999993</v>
      </c>
      <c r="O190" s="6">
        <v>8.6999999999999993</v>
      </c>
      <c r="P190" s="6">
        <v>29</v>
      </c>
      <c r="Q190" s="4" t="s">
        <v>26</v>
      </c>
      <c r="R190" s="4">
        <v>0</v>
      </c>
      <c r="S190" s="6">
        <v>0</v>
      </c>
      <c r="T190" s="6">
        <v>34</v>
      </c>
      <c r="U190" s="6">
        <v>77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131.37</v>
      </c>
      <c r="X190" s="6">
        <f>IF(ISERROR(VLOOKUP($U$190,'TAR FIN'!$A$1:$O$85,15,0)),0,VLOOKUP($U$190,'TAR FIN'!$A$1:$O$85,15,0))</f>
        <v>65.010000000000005</v>
      </c>
      <c r="Y190" s="6"/>
      <c r="Z190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90" s="6">
        <f>('TE BE'!$AB$12+'TE BF'!$AB$12+'TE CVA'!$AB$12)*(1-CUSTOS!$M$34)</f>
        <v>58.367224355543108</v>
      </c>
      <c r="AB190" s="6">
        <f>$K$190*$V$190</f>
        <v>0</v>
      </c>
      <c r="AC190" s="6">
        <f>$M$190*$W$190</f>
        <v>1142.9189999999999</v>
      </c>
      <c r="AD190" s="6">
        <f>$O$190*$X$190</f>
        <v>565.58699999999999</v>
      </c>
      <c r="AE190" s="6">
        <f>$K$190*$Y$190</f>
        <v>0</v>
      </c>
      <c r="AF190" s="6">
        <f ca="1">$M$190*$Z$190</f>
        <v>1257.4716690901121</v>
      </c>
      <c r="AG190" s="6">
        <f>$O$190*$AA$190</f>
        <v>507.79485189322497</v>
      </c>
    </row>
    <row r="191" spans="1:33" ht="11.25" customHeight="1" x14ac:dyDescent="0.3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29</v>
      </c>
      <c r="F191" s="4" t="s">
        <v>25</v>
      </c>
      <c r="G191" s="4" t="s">
        <v>25</v>
      </c>
      <c r="H191" s="4" t="s">
        <v>25</v>
      </c>
      <c r="I191" s="5">
        <v>44743</v>
      </c>
      <c r="J191" s="6">
        <v>0</v>
      </c>
      <c r="K191" s="6">
        <v>0</v>
      </c>
      <c r="L191" s="6">
        <v>8.5500000000000007</v>
      </c>
      <c r="M191" s="6">
        <v>8.5500000000000007</v>
      </c>
      <c r="N191" s="6">
        <v>8.5500000000000007</v>
      </c>
      <c r="O191" s="6">
        <v>8.5500000000000007</v>
      </c>
      <c r="P191" s="6">
        <v>29</v>
      </c>
      <c r="Q191" s="4" t="s">
        <v>26</v>
      </c>
      <c r="R191" s="4">
        <v>0</v>
      </c>
      <c r="S191" s="6">
        <v>0</v>
      </c>
      <c r="T191" s="6">
        <v>34</v>
      </c>
      <c r="U191" s="6">
        <v>77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131.37</v>
      </c>
      <c r="X191" s="6">
        <f>IF(ISERROR(VLOOKUP($U$191,'TAR FIN'!$A$1:$O$85,15,0)),0,VLOOKUP($U$191,'TAR FIN'!$A$1:$O$85,15,0))</f>
        <v>65.010000000000005</v>
      </c>
      <c r="Y191" s="6"/>
      <c r="Z191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91" s="6">
        <f>('TE BE'!$AB$12+'TE BF'!$AB$12+'TE CVA'!$AB$12)*(1-CUSTOS!$M$34)</f>
        <v>58.367224355543108</v>
      </c>
      <c r="AB191" s="6">
        <f>$K$191*$V$191</f>
        <v>0</v>
      </c>
      <c r="AC191" s="6">
        <f>$M$191*$W$191</f>
        <v>1123.2135000000001</v>
      </c>
      <c r="AD191" s="6">
        <f>$O$191*$X$191</f>
        <v>555.83550000000014</v>
      </c>
      <c r="AE191" s="6">
        <f>$K$191*$Y$191</f>
        <v>0</v>
      </c>
      <c r="AF191" s="6">
        <f ca="1">$M$191*$Z$191</f>
        <v>1235.7911230713173</v>
      </c>
      <c r="AG191" s="6">
        <f>$O$191*$AA$191</f>
        <v>499.03976823989359</v>
      </c>
    </row>
    <row r="192" spans="1:33" ht="11.25" customHeight="1" x14ac:dyDescent="0.3">
      <c r="A192" s="4" t="s">
        <v>21</v>
      </c>
      <c r="B192" s="4" t="s">
        <v>22</v>
      </c>
      <c r="C192" s="4" t="s">
        <v>23</v>
      </c>
      <c r="D192" s="4" t="s">
        <v>24</v>
      </c>
      <c r="E192" s="4" t="s">
        <v>29</v>
      </c>
      <c r="F192" s="4" t="s">
        <v>25</v>
      </c>
      <c r="G192" s="4" t="s">
        <v>25</v>
      </c>
      <c r="H192" s="4" t="s">
        <v>25</v>
      </c>
      <c r="I192" s="5">
        <v>44774</v>
      </c>
      <c r="J192" s="6">
        <v>0</v>
      </c>
      <c r="K192" s="6">
        <v>0</v>
      </c>
      <c r="L192" s="6">
        <v>6.75</v>
      </c>
      <c r="M192" s="6">
        <v>6.75</v>
      </c>
      <c r="N192" s="6">
        <v>6.75</v>
      </c>
      <c r="O192" s="6">
        <v>6.75</v>
      </c>
      <c r="P192" s="6">
        <v>19</v>
      </c>
      <c r="Q192" s="4" t="s">
        <v>26</v>
      </c>
      <c r="R192" s="4">
        <v>0</v>
      </c>
      <c r="S192" s="6">
        <v>0</v>
      </c>
      <c r="T192" s="6">
        <v>34</v>
      </c>
      <c r="U192" s="6">
        <v>77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131.37</v>
      </c>
      <c r="X192" s="6">
        <f>IF(ISERROR(VLOOKUP($U$192,'TAR FIN'!$A$1:$O$85,15,0)),0,VLOOKUP($U$192,'TAR FIN'!$A$1:$O$85,15,0))</f>
        <v>65.010000000000005</v>
      </c>
      <c r="Y192" s="6"/>
      <c r="Z192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92" s="6">
        <f>('TE BE'!$AB$12+'TE BF'!$AB$12+'TE CVA'!$AB$12)*(1-CUSTOS!$M$34)</f>
        <v>58.367224355543108</v>
      </c>
      <c r="AB192" s="6">
        <f>$K$192*$V$192</f>
        <v>0</v>
      </c>
      <c r="AC192" s="6">
        <f>$M$192*$W$192</f>
        <v>886.74750000000006</v>
      </c>
      <c r="AD192" s="6">
        <f>$O$192*$X$192</f>
        <v>438.81750000000005</v>
      </c>
      <c r="AE192" s="6">
        <f>$K$192*$Y$192</f>
        <v>0</v>
      </c>
      <c r="AF192" s="6">
        <f ca="1">$M$192*$Z$192</f>
        <v>975.6245708457767</v>
      </c>
      <c r="AG192" s="6">
        <f>$O$192*$AA$192</f>
        <v>393.97876439991597</v>
      </c>
    </row>
    <row r="193" spans="1:33" ht="11.25" customHeight="1" x14ac:dyDescent="0.3">
      <c r="A193" s="4" t="s">
        <v>21</v>
      </c>
      <c r="B193" s="4" t="s">
        <v>22</v>
      </c>
      <c r="C193" s="4" t="s">
        <v>23</v>
      </c>
      <c r="D193" s="4" t="s">
        <v>24</v>
      </c>
      <c r="E193" s="4" t="s">
        <v>30</v>
      </c>
      <c r="F193" s="4" t="s">
        <v>25</v>
      </c>
      <c r="G193" s="4" t="s">
        <v>25</v>
      </c>
      <c r="H193" s="4" t="s">
        <v>25</v>
      </c>
      <c r="I193" s="5">
        <v>44440</v>
      </c>
      <c r="J193" s="6">
        <v>0</v>
      </c>
      <c r="K193" s="6">
        <v>0</v>
      </c>
      <c r="L193" s="6">
        <v>12.154999999999999</v>
      </c>
      <c r="M193" s="6">
        <v>12.154999999999999</v>
      </c>
      <c r="N193" s="6">
        <v>12.154999999999999</v>
      </c>
      <c r="O193" s="6">
        <v>12.154999999999999</v>
      </c>
      <c r="P193" s="6">
        <v>36</v>
      </c>
      <c r="Q193" s="4" t="s">
        <v>26</v>
      </c>
      <c r="R193" s="4">
        <v>0</v>
      </c>
      <c r="S193" s="6">
        <v>0</v>
      </c>
      <c r="T193" s="6">
        <v>36</v>
      </c>
      <c r="U193" s="6">
        <v>78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225.21</v>
      </c>
      <c r="X193" s="6">
        <f>IF(ISERROR(VLOOKUP($U$193,'TAR FIN'!$A$1:$O$85,15,0)),0,VLOOKUP($U$193,'TAR FIN'!$A$1:$O$85,15,0))</f>
        <v>111.45</v>
      </c>
      <c r="Y193" s="6"/>
      <c r="Z193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193" s="6">
        <f>('TE BE'!$AB$13+'TE BF'!$AB$13+'TE CVA'!$AB$13)*(1-CUSTOS!$M$35)</f>
        <v>100.05809889521676</v>
      </c>
      <c r="AB193" s="6">
        <f>$K$193*$V$193</f>
        <v>0</v>
      </c>
      <c r="AC193" s="6">
        <f>$M$193*$W$193</f>
        <v>2737.4275499999999</v>
      </c>
      <c r="AD193" s="6">
        <f>$O$193*$X$193</f>
        <v>1354.6747499999999</v>
      </c>
      <c r="AE193" s="6">
        <f>$K$193*$Y$193</f>
        <v>0</v>
      </c>
      <c r="AF193" s="6">
        <f ca="1">$M$193*$Z$193</f>
        <v>3011.7375640966134</v>
      </c>
      <c r="AG193" s="6">
        <f>$O$193*$AA$193</f>
        <v>1216.2061920713597</v>
      </c>
    </row>
    <row r="194" spans="1:33" ht="11.25" customHeight="1" x14ac:dyDescent="0.3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30</v>
      </c>
      <c r="F194" s="4" t="s">
        <v>25</v>
      </c>
      <c r="G194" s="4" t="s">
        <v>25</v>
      </c>
      <c r="H194" s="4" t="s">
        <v>25</v>
      </c>
      <c r="I194" s="5">
        <v>44470</v>
      </c>
      <c r="J194" s="6">
        <v>0</v>
      </c>
      <c r="K194" s="6">
        <v>0</v>
      </c>
      <c r="L194" s="6">
        <v>12.137</v>
      </c>
      <c r="M194" s="6">
        <v>12.137</v>
      </c>
      <c r="N194" s="6">
        <v>12.137</v>
      </c>
      <c r="O194" s="6">
        <v>12.137</v>
      </c>
      <c r="P194" s="6">
        <v>37</v>
      </c>
      <c r="Q194" s="4" t="s">
        <v>26</v>
      </c>
      <c r="R194" s="4">
        <v>0</v>
      </c>
      <c r="S194" s="6">
        <v>0</v>
      </c>
      <c r="T194" s="6">
        <v>36</v>
      </c>
      <c r="U194" s="6">
        <v>78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225.21</v>
      </c>
      <c r="X194" s="6">
        <f>IF(ISERROR(VLOOKUP($U$194,'TAR FIN'!$A$1:$O$85,15,0)),0,VLOOKUP($U$194,'TAR FIN'!$A$1:$O$85,15,0))</f>
        <v>111.45</v>
      </c>
      <c r="Y194" s="6"/>
      <c r="Z194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194" s="6">
        <f>('TE BE'!$AB$13+'TE BF'!$AB$13+'TE CVA'!$AB$13)*(1-CUSTOS!$M$35)</f>
        <v>100.05809889521676</v>
      </c>
      <c r="AB194" s="6">
        <f>$K$194*$V$194</f>
        <v>0</v>
      </c>
      <c r="AC194" s="6">
        <f>$M$194*$W$194</f>
        <v>2733.3737700000001</v>
      </c>
      <c r="AD194" s="6">
        <f>$O$194*$X$194</f>
        <v>1352.6686500000001</v>
      </c>
      <c r="AE194" s="6">
        <f>$K$194*$Y$194</f>
        <v>0</v>
      </c>
      <c r="AF194" s="6">
        <f ca="1">$M$194*$Z$194</f>
        <v>3007.2775660584612</v>
      </c>
      <c r="AG194" s="6">
        <f>$O$194*$AA$194</f>
        <v>1214.405146291246</v>
      </c>
    </row>
    <row r="195" spans="1:33" ht="11.25" customHeight="1" x14ac:dyDescent="0.3">
      <c r="A195" s="4" t="s">
        <v>21</v>
      </c>
      <c r="B195" s="4" t="s">
        <v>22</v>
      </c>
      <c r="C195" s="4" t="s">
        <v>23</v>
      </c>
      <c r="D195" s="4" t="s">
        <v>24</v>
      </c>
      <c r="E195" s="4" t="s">
        <v>30</v>
      </c>
      <c r="F195" s="4" t="s">
        <v>25</v>
      </c>
      <c r="G195" s="4" t="s">
        <v>25</v>
      </c>
      <c r="H195" s="4" t="s">
        <v>25</v>
      </c>
      <c r="I195" s="5">
        <v>44501</v>
      </c>
      <c r="J195" s="6">
        <v>0</v>
      </c>
      <c r="K195" s="6">
        <v>0</v>
      </c>
      <c r="L195" s="6">
        <v>12.07</v>
      </c>
      <c r="M195" s="6">
        <v>12.07</v>
      </c>
      <c r="N195" s="6">
        <v>12.07</v>
      </c>
      <c r="O195" s="6">
        <v>12.07</v>
      </c>
      <c r="P195" s="6">
        <v>48</v>
      </c>
      <c r="Q195" s="4" t="s">
        <v>26</v>
      </c>
      <c r="R195" s="4">
        <v>0</v>
      </c>
      <c r="S195" s="6">
        <v>0</v>
      </c>
      <c r="T195" s="6">
        <v>36</v>
      </c>
      <c r="U195" s="6">
        <v>78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225.21</v>
      </c>
      <c r="X195" s="6">
        <f>IF(ISERROR(VLOOKUP($U$195,'TAR FIN'!$A$1:$O$85,15,0)),0,VLOOKUP($U$195,'TAR FIN'!$A$1:$O$85,15,0))</f>
        <v>111.45</v>
      </c>
      <c r="Y195" s="6"/>
      <c r="Z195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195" s="6">
        <f>('TE BE'!$AB$13+'TE BF'!$AB$13+'TE CVA'!$AB$13)*(1-CUSTOS!$M$35)</f>
        <v>100.05809889521676</v>
      </c>
      <c r="AB195" s="6">
        <f>$K$195*$V$195</f>
        <v>0</v>
      </c>
      <c r="AC195" s="6">
        <f>$M$195*$W$195</f>
        <v>2718.2847000000002</v>
      </c>
      <c r="AD195" s="6">
        <f>$O$195*$X$195</f>
        <v>1345.2015000000001</v>
      </c>
      <c r="AE195" s="6">
        <f>$K$195*$Y$195</f>
        <v>0</v>
      </c>
      <c r="AF195" s="6">
        <f ca="1">$M$195*$Z$195</f>
        <v>2990.676462249784</v>
      </c>
      <c r="AG195" s="6">
        <f>$O$195*$AA$195</f>
        <v>1207.7012536652662</v>
      </c>
    </row>
    <row r="196" spans="1:33" ht="11.25" customHeight="1" x14ac:dyDescent="0.3">
      <c r="A196" s="4" t="s">
        <v>27</v>
      </c>
      <c r="B196" s="4" t="s">
        <v>22</v>
      </c>
      <c r="C196" s="4" t="s">
        <v>23</v>
      </c>
      <c r="D196" s="4" t="s">
        <v>24</v>
      </c>
      <c r="E196" s="4" t="s">
        <v>30</v>
      </c>
      <c r="F196" s="4" t="s">
        <v>25</v>
      </c>
      <c r="G196" s="4" t="s">
        <v>25</v>
      </c>
      <c r="H196" s="4" t="s">
        <v>25</v>
      </c>
      <c r="I196" s="5">
        <v>44501</v>
      </c>
      <c r="J196" s="6">
        <v>0</v>
      </c>
      <c r="K196" s="6">
        <v>0</v>
      </c>
      <c r="L196" s="6">
        <v>-5.1999999999999998E-2</v>
      </c>
      <c r="M196" s="6">
        <v>-5.1999999999999998E-2</v>
      </c>
      <c r="N196" s="6">
        <v>-5.1999999999999998E-2</v>
      </c>
      <c r="O196" s="6">
        <v>-5.1999999999999998E-2</v>
      </c>
      <c r="P196" s="6">
        <v>0</v>
      </c>
      <c r="Q196" s="4" t="s">
        <v>26</v>
      </c>
      <c r="R196" s="4">
        <v>0</v>
      </c>
      <c r="S196" s="6">
        <v>0</v>
      </c>
      <c r="T196" s="6">
        <v>36</v>
      </c>
      <c r="U196" s="6">
        <v>78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225.21</v>
      </c>
      <c r="X196" s="6">
        <f>IF(ISERROR(VLOOKUP($U$196,'TAR FIN'!$A$1:$O$85,15,0)),0,VLOOKUP($U$196,'TAR FIN'!$A$1:$O$85,15,0))</f>
        <v>111.45</v>
      </c>
      <c r="Y196" s="6"/>
      <c r="Z196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196" s="6">
        <f>('TE BE'!$AB$13+'TE BF'!$AB$13+'TE CVA'!$AB$13)*(1-CUSTOS!$M$35)</f>
        <v>100.05809889521676</v>
      </c>
      <c r="AB196" s="6">
        <f>$K$196*$V$196</f>
        <v>0</v>
      </c>
      <c r="AC196" s="6">
        <f>$M$196*$W$196</f>
        <v>-11.71092</v>
      </c>
      <c r="AD196" s="6">
        <f>$O$196*$X$196</f>
        <v>-5.7953999999999999</v>
      </c>
      <c r="AE196" s="6">
        <f>$K$196*$Y$196</f>
        <v>0</v>
      </c>
      <c r="AF196" s="6">
        <f ca="1">$M$196*$Z$196</f>
        <v>-12.884438776883906</v>
      </c>
      <c r="AG196" s="6">
        <f>$O$196*$AA$196</f>
        <v>-5.2030211425512709</v>
      </c>
    </row>
    <row r="197" spans="1:33" ht="11.25" customHeight="1" x14ac:dyDescent="0.3">
      <c r="A197" s="4" t="s">
        <v>28</v>
      </c>
      <c r="B197" s="4" t="s">
        <v>22</v>
      </c>
      <c r="C197" s="4" t="s">
        <v>23</v>
      </c>
      <c r="D197" s="4" t="s">
        <v>24</v>
      </c>
      <c r="E197" s="4" t="s">
        <v>30</v>
      </c>
      <c r="F197" s="4" t="s">
        <v>25</v>
      </c>
      <c r="G197" s="4" t="s">
        <v>25</v>
      </c>
      <c r="H197" s="4" t="s">
        <v>25</v>
      </c>
      <c r="I197" s="5">
        <v>44501</v>
      </c>
      <c r="J197" s="6">
        <v>0</v>
      </c>
      <c r="K197" s="6">
        <v>0</v>
      </c>
      <c r="L197" s="6">
        <v>2.8000000000000001E-2</v>
      </c>
      <c r="M197" s="6">
        <v>1.6799999999999999E-2</v>
      </c>
      <c r="N197" s="6">
        <v>2.8000000000000001E-2</v>
      </c>
      <c r="O197" s="6">
        <v>1.6799999999999999E-2</v>
      </c>
      <c r="P197" s="6">
        <v>0</v>
      </c>
      <c r="Q197" s="4" t="s">
        <v>26</v>
      </c>
      <c r="R197" s="4">
        <v>0</v>
      </c>
      <c r="S197" s="6">
        <v>0</v>
      </c>
      <c r="T197" s="6">
        <v>36</v>
      </c>
      <c r="U197" s="6">
        <v>78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225.21</v>
      </c>
      <c r="X197" s="6">
        <f>IF(ISERROR(VLOOKUP($U$197,'TAR FIN'!$A$1:$O$85,15,0)),0,VLOOKUP($U$197,'TAR FIN'!$A$1:$O$85,15,0))</f>
        <v>111.45</v>
      </c>
      <c r="Y197" s="6"/>
      <c r="Z197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197" s="6">
        <f>('TE BE'!$AB$13+'TE BF'!$AB$13+'TE CVA'!$AB$13)*(1-CUSTOS!$M$35)</f>
        <v>100.05809889521676</v>
      </c>
      <c r="AB197" s="6">
        <f>$K$197*$V$197</f>
        <v>0</v>
      </c>
      <c r="AC197" s="6">
        <f>$M$197*$W$197</f>
        <v>3.783528</v>
      </c>
      <c r="AD197" s="6">
        <f>$O$197*$X$197</f>
        <v>1.87236</v>
      </c>
      <c r="AE197" s="6">
        <f>$K$197*$Y$197</f>
        <v>0</v>
      </c>
      <c r="AF197" s="6">
        <f ca="1">$M$197*$Z$197</f>
        <v>4.1626648356086466</v>
      </c>
      <c r="AG197" s="6">
        <f>$O$197*$AA$197</f>
        <v>1.6809760614396414</v>
      </c>
    </row>
    <row r="198" spans="1:33" ht="11.25" customHeight="1" x14ac:dyDescent="0.3">
      <c r="A198" s="4" t="s">
        <v>21</v>
      </c>
      <c r="B198" s="4" t="s">
        <v>22</v>
      </c>
      <c r="C198" s="4" t="s">
        <v>23</v>
      </c>
      <c r="D198" s="4" t="s">
        <v>24</v>
      </c>
      <c r="E198" s="4" t="s">
        <v>30</v>
      </c>
      <c r="F198" s="4" t="s">
        <v>25</v>
      </c>
      <c r="G198" s="4" t="s">
        <v>25</v>
      </c>
      <c r="H198" s="4" t="s">
        <v>25</v>
      </c>
      <c r="I198" s="5">
        <v>44531</v>
      </c>
      <c r="J198" s="6">
        <v>0</v>
      </c>
      <c r="K198" s="6">
        <v>0</v>
      </c>
      <c r="L198" s="6">
        <v>12.305999999999999</v>
      </c>
      <c r="M198" s="6">
        <v>12.305999999999999</v>
      </c>
      <c r="N198" s="6">
        <v>12.305999999999999</v>
      </c>
      <c r="O198" s="6">
        <v>12.305999999999999</v>
      </c>
      <c r="P198" s="6">
        <v>36</v>
      </c>
      <c r="Q198" s="4" t="s">
        <v>26</v>
      </c>
      <c r="R198" s="4">
        <v>0</v>
      </c>
      <c r="S198" s="6">
        <v>0</v>
      </c>
      <c r="T198" s="6">
        <v>36</v>
      </c>
      <c r="U198" s="6">
        <v>78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225.21</v>
      </c>
      <c r="X198" s="6">
        <f>IF(ISERROR(VLOOKUP($U$198,'TAR FIN'!$A$1:$O$85,15,0)),0,VLOOKUP($U$198,'TAR FIN'!$A$1:$O$85,15,0))</f>
        <v>111.45</v>
      </c>
      <c r="Y198" s="6"/>
      <c r="Z198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198" s="6">
        <f>('TE BE'!$AB$13+'TE BF'!$AB$13+'TE CVA'!$AB$13)*(1-CUSTOS!$M$35)</f>
        <v>100.05809889521676</v>
      </c>
      <c r="AB198" s="6">
        <f>$K$198*$V$198</f>
        <v>0</v>
      </c>
      <c r="AC198" s="6">
        <f>$M$198*$W$198</f>
        <v>2771.43426</v>
      </c>
      <c r="AD198" s="6">
        <f>$O$198*$X$198</f>
        <v>1371.5037</v>
      </c>
      <c r="AE198" s="6">
        <f>$K$198*$Y$198</f>
        <v>0</v>
      </c>
      <c r="AF198" s="6">
        <f ca="1">$M$198*$Z$198</f>
        <v>3049.1519920833339</v>
      </c>
      <c r="AG198" s="6">
        <f>$O$198*$AA$198</f>
        <v>1231.3149650045373</v>
      </c>
    </row>
    <row r="199" spans="1:33" ht="11.25" customHeight="1" x14ac:dyDescent="0.3">
      <c r="A199" s="4" t="s">
        <v>21</v>
      </c>
      <c r="B199" s="4" t="s">
        <v>22</v>
      </c>
      <c r="C199" s="4" t="s">
        <v>23</v>
      </c>
      <c r="D199" s="4" t="s">
        <v>24</v>
      </c>
      <c r="E199" s="4" t="s">
        <v>30</v>
      </c>
      <c r="F199" s="4" t="s">
        <v>25</v>
      </c>
      <c r="G199" s="4" t="s">
        <v>25</v>
      </c>
      <c r="H199" s="4" t="s">
        <v>25</v>
      </c>
      <c r="I199" s="5">
        <v>44562</v>
      </c>
      <c r="J199" s="6">
        <v>0</v>
      </c>
      <c r="K199" s="6">
        <v>0</v>
      </c>
      <c r="L199" s="6">
        <v>12.425000000000001</v>
      </c>
      <c r="M199" s="6">
        <v>12.425000000000001</v>
      </c>
      <c r="N199" s="6">
        <v>12.425000000000001</v>
      </c>
      <c r="O199" s="6">
        <v>12.425000000000001</v>
      </c>
      <c r="P199" s="6">
        <v>30</v>
      </c>
      <c r="Q199" s="4" t="s">
        <v>26</v>
      </c>
      <c r="R199" s="4">
        <v>0</v>
      </c>
      <c r="S199" s="6">
        <v>0</v>
      </c>
      <c r="T199" s="6">
        <v>36</v>
      </c>
      <c r="U199" s="6">
        <v>78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225.21</v>
      </c>
      <c r="X199" s="6">
        <f>IF(ISERROR(VLOOKUP($U$199,'TAR FIN'!$A$1:$O$85,15,0)),0,VLOOKUP($U$199,'TAR FIN'!$A$1:$O$85,15,0))</f>
        <v>111.45</v>
      </c>
      <c r="Y199" s="6"/>
      <c r="Z199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199" s="6">
        <f>('TE BE'!$AB$13+'TE BF'!$AB$13+'TE CVA'!$AB$13)*(1-CUSTOS!$M$35)</f>
        <v>100.05809889521676</v>
      </c>
      <c r="AB199" s="6">
        <f>$K$199*$V$199</f>
        <v>0</v>
      </c>
      <c r="AC199" s="6">
        <f>$M$199*$W$199</f>
        <v>2798.2342500000004</v>
      </c>
      <c r="AD199" s="6">
        <f>$O$199*$X$199</f>
        <v>1384.7662500000001</v>
      </c>
      <c r="AE199" s="6">
        <f>$K$199*$Y$199</f>
        <v>0</v>
      </c>
      <c r="AF199" s="6">
        <f ca="1">$M$199*$Z$199</f>
        <v>3078.6375346688951</v>
      </c>
      <c r="AG199" s="6">
        <f>$O$199*$AA$199</f>
        <v>1243.2218787730683</v>
      </c>
    </row>
    <row r="200" spans="1:33" ht="11.25" customHeight="1" x14ac:dyDescent="0.3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30</v>
      </c>
      <c r="F200" s="4" t="s">
        <v>25</v>
      </c>
      <c r="G200" s="4" t="s">
        <v>25</v>
      </c>
      <c r="H200" s="4" t="s">
        <v>25</v>
      </c>
      <c r="I200" s="5">
        <v>44593</v>
      </c>
      <c r="J200" s="6">
        <v>0</v>
      </c>
      <c r="K200" s="6">
        <v>0</v>
      </c>
      <c r="L200" s="6">
        <v>12.778</v>
      </c>
      <c r="M200" s="6">
        <v>12.778</v>
      </c>
      <c r="N200" s="6">
        <v>12.778</v>
      </c>
      <c r="O200" s="6">
        <v>12.778</v>
      </c>
      <c r="P200" s="6">
        <v>23</v>
      </c>
      <c r="Q200" s="4" t="s">
        <v>26</v>
      </c>
      <c r="R200" s="4">
        <v>0</v>
      </c>
      <c r="S200" s="6">
        <v>0</v>
      </c>
      <c r="T200" s="6">
        <v>36</v>
      </c>
      <c r="U200" s="6">
        <v>78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225.21</v>
      </c>
      <c r="X200" s="6">
        <f>IF(ISERROR(VLOOKUP($U$200,'TAR FIN'!$A$1:$O$85,15,0)),0,VLOOKUP($U$200,'TAR FIN'!$A$1:$O$85,15,0))</f>
        <v>111.45</v>
      </c>
      <c r="Y200" s="6"/>
      <c r="Z200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00" s="6">
        <f>('TE BE'!$AB$13+'TE BF'!$AB$13+'TE CVA'!$AB$13)*(1-CUSTOS!$M$35)</f>
        <v>100.05809889521676</v>
      </c>
      <c r="AB200" s="6">
        <f>$K$200*$V$200</f>
        <v>0</v>
      </c>
      <c r="AC200" s="6">
        <f>$M$200*$W$200</f>
        <v>2877.7333800000001</v>
      </c>
      <c r="AD200" s="6">
        <f>$O$200*$X$200</f>
        <v>1424.1081000000001</v>
      </c>
      <c r="AE200" s="6">
        <f>$K$200*$Y$200</f>
        <v>0</v>
      </c>
      <c r="AF200" s="6">
        <f ca="1">$M$200*$Z$200</f>
        <v>3166.1030517504341</v>
      </c>
      <c r="AG200" s="6">
        <f>$O$200*$AA$200</f>
        <v>1278.5423876830798</v>
      </c>
    </row>
    <row r="201" spans="1:33" ht="11.25" customHeight="1" x14ac:dyDescent="0.3">
      <c r="A201" s="4" t="s">
        <v>21</v>
      </c>
      <c r="B201" s="4" t="s">
        <v>22</v>
      </c>
      <c r="C201" s="4" t="s">
        <v>23</v>
      </c>
      <c r="D201" s="4" t="s">
        <v>24</v>
      </c>
      <c r="E201" s="4" t="s">
        <v>30</v>
      </c>
      <c r="F201" s="4" t="s">
        <v>25</v>
      </c>
      <c r="G201" s="4" t="s">
        <v>25</v>
      </c>
      <c r="H201" s="4" t="s">
        <v>25</v>
      </c>
      <c r="I201" s="5">
        <v>44621</v>
      </c>
      <c r="J201" s="6">
        <v>0</v>
      </c>
      <c r="K201" s="6">
        <v>0</v>
      </c>
      <c r="L201" s="6">
        <v>13.773</v>
      </c>
      <c r="M201" s="6">
        <v>13.773</v>
      </c>
      <c r="N201" s="6">
        <v>13.773</v>
      </c>
      <c r="O201" s="6">
        <v>13.773</v>
      </c>
      <c r="P201" s="6">
        <v>23</v>
      </c>
      <c r="Q201" s="4" t="s">
        <v>26</v>
      </c>
      <c r="R201" s="4">
        <v>0</v>
      </c>
      <c r="S201" s="6">
        <v>0</v>
      </c>
      <c r="T201" s="6">
        <v>36</v>
      </c>
      <c r="U201" s="6">
        <v>78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225.21</v>
      </c>
      <c r="X201" s="6">
        <f>IF(ISERROR(VLOOKUP($U$201,'TAR FIN'!$A$1:$O$85,15,0)),0,VLOOKUP($U$201,'TAR FIN'!$A$1:$O$85,15,0))</f>
        <v>111.45</v>
      </c>
      <c r="Y201" s="6"/>
      <c r="Z201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01" s="6">
        <f>('TE BE'!$AB$13+'TE BF'!$AB$13+'TE CVA'!$AB$13)*(1-CUSTOS!$M$35)</f>
        <v>100.05809889521676</v>
      </c>
      <c r="AB201" s="6">
        <f>$K$201*$V$201</f>
        <v>0</v>
      </c>
      <c r="AC201" s="6">
        <f>$M$201*$W$201</f>
        <v>3101.8173299999999</v>
      </c>
      <c r="AD201" s="6">
        <f>$O$201*$X$201</f>
        <v>1535.0008499999999</v>
      </c>
      <c r="AE201" s="6">
        <f>$K$201*$Y$201</f>
        <v>0</v>
      </c>
      <c r="AF201" s="6">
        <f ca="1">$M$201*$Z$201</f>
        <v>3412.6418321927317</v>
      </c>
      <c r="AG201" s="6">
        <f>$O$201*$AA$201</f>
        <v>1378.1001960838205</v>
      </c>
    </row>
    <row r="202" spans="1:33" ht="11.25" customHeight="1" x14ac:dyDescent="0.3">
      <c r="A202" s="4" t="s">
        <v>21</v>
      </c>
      <c r="B202" s="4" t="s">
        <v>22</v>
      </c>
      <c r="C202" s="4" t="s">
        <v>23</v>
      </c>
      <c r="D202" s="4" t="s">
        <v>24</v>
      </c>
      <c r="E202" s="4" t="s">
        <v>30</v>
      </c>
      <c r="F202" s="4" t="s">
        <v>25</v>
      </c>
      <c r="G202" s="4" t="s">
        <v>25</v>
      </c>
      <c r="H202" s="4" t="s">
        <v>25</v>
      </c>
      <c r="I202" s="5">
        <v>44652</v>
      </c>
      <c r="J202" s="6">
        <v>0</v>
      </c>
      <c r="K202" s="6">
        <v>0</v>
      </c>
      <c r="L202" s="6">
        <v>22.285</v>
      </c>
      <c r="M202" s="6">
        <v>22.285</v>
      </c>
      <c r="N202" s="6">
        <v>22.285</v>
      </c>
      <c r="O202" s="6">
        <v>22.285</v>
      </c>
      <c r="P202" s="6">
        <v>45</v>
      </c>
      <c r="Q202" s="4" t="s">
        <v>26</v>
      </c>
      <c r="R202" s="4">
        <v>0</v>
      </c>
      <c r="S202" s="6">
        <v>0</v>
      </c>
      <c r="T202" s="6">
        <v>36</v>
      </c>
      <c r="U202" s="6">
        <v>78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225.21</v>
      </c>
      <c r="X202" s="6">
        <f>IF(ISERROR(VLOOKUP($U$202,'TAR FIN'!$A$1:$O$85,15,0)),0,VLOOKUP($U$202,'TAR FIN'!$A$1:$O$85,15,0))</f>
        <v>111.45</v>
      </c>
      <c r="Y202" s="6"/>
      <c r="Z202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02" s="6">
        <f>('TE BE'!$AB$13+'TE BF'!$AB$13+'TE CVA'!$AB$13)*(1-CUSTOS!$M$35)</f>
        <v>100.05809889521676</v>
      </c>
      <c r="AB202" s="6">
        <f>$K$202*$V$202</f>
        <v>0</v>
      </c>
      <c r="AC202" s="6">
        <f>$M$202*$W$202</f>
        <v>5018.8048500000004</v>
      </c>
      <c r="AD202" s="6">
        <f>$O$202*$X$202</f>
        <v>2483.6632500000001</v>
      </c>
      <c r="AE202" s="6">
        <f>$K$202*$Y$202</f>
        <v>0</v>
      </c>
      <c r="AF202" s="6">
        <f ca="1">$M$202*$Z$202</f>
        <v>5521.7253489011127</v>
      </c>
      <c r="AG202" s="6">
        <f>$O$202*$AA$202</f>
        <v>2229.7947338799054</v>
      </c>
    </row>
    <row r="203" spans="1:33" ht="11.25" customHeight="1" x14ac:dyDescent="0.3">
      <c r="A203" s="4" t="s">
        <v>27</v>
      </c>
      <c r="B203" s="4" t="s">
        <v>22</v>
      </c>
      <c r="C203" s="4" t="s">
        <v>23</v>
      </c>
      <c r="D203" s="4" t="s">
        <v>24</v>
      </c>
      <c r="E203" s="4" t="s">
        <v>30</v>
      </c>
      <c r="F203" s="4" t="s">
        <v>25</v>
      </c>
      <c r="G203" s="4" t="s">
        <v>25</v>
      </c>
      <c r="H203" s="4" t="s">
        <v>25</v>
      </c>
      <c r="I203" s="5">
        <v>44652</v>
      </c>
      <c r="J203" s="6">
        <v>0</v>
      </c>
      <c r="K203" s="6">
        <v>0</v>
      </c>
      <c r="L203" s="6">
        <v>-7.0000000000000007E-2</v>
      </c>
      <c r="M203" s="6">
        <v>-7.0000000000000007E-2</v>
      </c>
      <c r="N203" s="6">
        <v>-7.0000000000000007E-2</v>
      </c>
      <c r="O203" s="6">
        <v>-7.0000000000000007E-2</v>
      </c>
      <c r="P203" s="6">
        <v>0</v>
      </c>
      <c r="Q203" s="4" t="s">
        <v>26</v>
      </c>
      <c r="R203" s="4">
        <v>0</v>
      </c>
      <c r="S203" s="6">
        <v>0</v>
      </c>
      <c r="T203" s="6">
        <v>36</v>
      </c>
      <c r="U203" s="6">
        <v>78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225.21</v>
      </c>
      <c r="X203" s="6">
        <f>IF(ISERROR(VLOOKUP($U$203,'TAR FIN'!$A$1:$O$85,15,0)),0,VLOOKUP($U$203,'TAR FIN'!$A$1:$O$85,15,0))</f>
        <v>111.45</v>
      </c>
      <c r="Y203" s="6"/>
      <c r="Z203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03" s="6">
        <f>('TE BE'!$AB$13+'TE BF'!$AB$13+'TE CVA'!$AB$13)*(1-CUSTOS!$M$35)</f>
        <v>100.05809889521676</v>
      </c>
      <c r="AB203" s="6">
        <f>$K$203*$V$203</f>
        <v>0</v>
      </c>
      <c r="AC203" s="6">
        <f>$M$203*$W$203</f>
        <v>-15.764700000000001</v>
      </c>
      <c r="AD203" s="6">
        <f>$O$203*$X$203</f>
        <v>-7.8015000000000008</v>
      </c>
      <c r="AE203" s="6">
        <f>$K$203*$Y$203</f>
        <v>0</v>
      </c>
      <c r="AF203" s="6">
        <f ca="1">$M$203*$Z$203</f>
        <v>-17.34443681503603</v>
      </c>
      <c r="AG203" s="6">
        <f>$O$203*$AA$203</f>
        <v>-7.0040669226651735</v>
      </c>
    </row>
    <row r="204" spans="1:33" ht="11.25" customHeight="1" x14ac:dyDescent="0.3">
      <c r="A204" s="4" t="s">
        <v>21</v>
      </c>
      <c r="B204" s="4" t="s">
        <v>22</v>
      </c>
      <c r="C204" s="4" t="s">
        <v>23</v>
      </c>
      <c r="D204" s="4" t="s">
        <v>24</v>
      </c>
      <c r="E204" s="4" t="s">
        <v>30</v>
      </c>
      <c r="F204" s="4" t="s">
        <v>25</v>
      </c>
      <c r="G204" s="4" t="s">
        <v>25</v>
      </c>
      <c r="H204" s="4" t="s">
        <v>25</v>
      </c>
      <c r="I204" s="5">
        <v>44682</v>
      </c>
      <c r="J204" s="6">
        <v>0</v>
      </c>
      <c r="K204" s="6">
        <v>0</v>
      </c>
      <c r="L204" s="6">
        <v>16.582000000000001</v>
      </c>
      <c r="M204" s="6">
        <v>16.582000000000001</v>
      </c>
      <c r="N204" s="6">
        <v>16.582000000000001</v>
      </c>
      <c r="O204" s="6">
        <v>16.582000000000001</v>
      </c>
      <c r="P204" s="6">
        <v>51</v>
      </c>
      <c r="Q204" s="4" t="s">
        <v>26</v>
      </c>
      <c r="R204" s="4">
        <v>0</v>
      </c>
      <c r="S204" s="6">
        <v>0</v>
      </c>
      <c r="T204" s="6">
        <v>36</v>
      </c>
      <c r="U204" s="6">
        <v>78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225.21</v>
      </c>
      <c r="X204" s="6">
        <f>IF(ISERROR(VLOOKUP($U$204,'TAR FIN'!$A$1:$O$85,15,0)),0,VLOOKUP($U$204,'TAR FIN'!$A$1:$O$85,15,0))</f>
        <v>111.45</v>
      </c>
      <c r="Y204" s="6"/>
      <c r="Z204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04" s="6">
        <f>('TE BE'!$AB$13+'TE BF'!$AB$13+'TE CVA'!$AB$13)*(1-CUSTOS!$M$35)</f>
        <v>100.05809889521676</v>
      </c>
      <c r="AB204" s="6">
        <f>$K$204*$V$204</f>
        <v>0</v>
      </c>
      <c r="AC204" s="6">
        <f>$M$204*$W$204</f>
        <v>3734.4322200000001</v>
      </c>
      <c r="AD204" s="6">
        <f>$O$204*$X$204</f>
        <v>1848.0639000000001</v>
      </c>
      <c r="AE204" s="6">
        <f>$K$204*$Y$204</f>
        <v>0</v>
      </c>
      <c r="AF204" s="6">
        <f ca="1">$M$204*$Z$204</f>
        <v>4108.6493038132494</v>
      </c>
      <c r="AG204" s="6">
        <f>$O$204*$AA$204</f>
        <v>1659.1633958804844</v>
      </c>
    </row>
    <row r="205" spans="1:33" ht="11.25" customHeight="1" x14ac:dyDescent="0.3">
      <c r="A205" s="4" t="s">
        <v>28</v>
      </c>
      <c r="B205" s="4" t="s">
        <v>22</v>
      </c>
      <c r="C205" s="4" t="s">
        <v>23</v>
      </c>
      <c r="D205" s="4" t="s">
        <v>24</v>
      </c>
      <c r="E205" s="4" t="s">
        <v>30</v>
      </c>
      <c r="F205" s="4" t="s">
        <v>25</v>
      </c>
      <c r="G205" s="4" t="s">
        <v>25</v>
      </c>
      <c r="H205" s="4" t="s">
        <v>25</v>
      </c>
      <c r="I205" s="5">
        <v>44682</v>
      </c>
      <c r="J205" s="6">
        <v>0</v>
      </c>
      <c r="K205" s="6">
        <v>0</v>
      </c>
      <c r="L205" s="6">
        <v>7.0000000000000007E-2</v>
      </c>
      <c r="M205" s="6">
        <v>-1.4E-2</v>
      </c>
      <c r="N205" s="6">
        <v>7.0000000000000007E-2</v>
      </c>
      <c r="O205" s="6">
        <v>-1.4E-2</v>
      </c>
      <c r="P205" s="6">
        <v>0</v>
      </c>
      <c r="Q205" s="4" t="s">
        <v>26</v>
      </c>
      <c r="R205" s="4">
        <v>0</v>
      </c>
      <c r="S205" s="6">
        <v>0</v>
      </c>
      <c r="T205" s="6">
        <v>36</v>
      </c>
      <c r="U205" s="6">
        <v>78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225.21</v>
      </c>
      <c r="X205" s="6">
        <f>IF(ISERROR(VLOOKUP($U$205,'TAR FIN'!$A$1:$O$85,15,0)),0,VLOOKUP($U$205,'TAR FIN'!$A$1:$O$85,15,0))</f>
        <v>111.45</v>
      </c>
      <c r="Y205" s="6"/>
      <c r="Z205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05" s="6">
        <f>('TE BE'!$AB$13+'TE BF'!$AB$13+'TE CVA'!$AB$13)*(1-CUSTOS!$M$35)</f>
        <v>100.05809889521676</v>
      </c>
      <c r="AB205" s="6">
        <f>$K$205*$V$205</f>
        <v>0</v>
      </c>
      <c r="AC205" s="6">
        <f>$M$205*$W$205</f>
        <v>-3.1529400000000001</v>
      </c>
      <c r="AD205" s="6">
        <f>$O$205*$X$205</f>
        <v>-1.5603</v>
      </c>
      <c r="AE205" s="6">
        <f>$K$205*$Y$205</f>
        <v>0</v>
      </c>
      <c r="AF205" s="6">
        <f ca="1">$M$205*$Z$205</f>
        <v>-3.4688873630072057</v>
      </c>
      <c r="AG205" s="6">
        <f>$O$205*$AA$205</f>
        <v>-1.4008133845330346</v>
      </c>
    </row>
    <row r="206" spans="1:33" ht="11.25" customHeight="1" x14ac:dyDescent="0.3">
      <c r="A206" s="4" t="s">
        <v>21</v>
      </c>
      <c r="B206" s="4" t="s">
        <v>22</v>
      </c>
      <c r="C206" s="4" t="s">
        <v>23</v>
      </c>
      <c r="D206" s="4" t="s">
        <v>24</v>
      </c>
      <c r="E206" s="4" t="s">
        <v>30</v>
      </c>
      <c r="F206" s="4" t="s">
        <v>25</v>
      </c>
      <c r="G206" s="4" t="s">
        <v>25</v>
      </c>
      <c r="H206" s="4" t="s">
        <v>25</v>
      </c>
      <c r="I206" s="5">
        <v>44713</v>
      </c>
      <c r="J206" s="6">
        <v>0</v>
      </c>
      <c r="K206" s="6">
        <v>0</v>
      </c>
      <c r="L206" s="6">
        <v>16.468</v>
      </c>
      <c r="M206" s="6">
        <v>16.468</v>
      </c>
      <c r="N206" s="6">
        <v>16.468</v>
      </c>
      <c r="O206" s="6">
        <v>16.468</v>
      </c>
      <c r="P206" s="6">
        <v>55</v>
      </c>
      <c r="Q206" s="4" t="s">
        <v>26</v>
      </c>
      <c r="R206" s="4">
        <v>0</v>
      </c>
      <c r="S206" s="6">
        <v>0</v>
      </c>
      <c r="T206" s="6">
        <v>36</v>
      </c>
      <c r="U206" s="6">
        <v>78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225.21</v>
      </c>
      <c r="X206" s="6">
        <f>IF(ISERROR(VLOOKUP($U$206,'TAR FIN'!$A$1:$O$85,15,0)),0,VLOOKUP($U$206,'TAR FIN'!$A$1:$O$85,15,0))</f>
        <v>111.45</v>
      </c>
      <c r="Y206" s="6"/>
      <c r="Z206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06" s="6">
        <f>('TE BE'!$AB$13+'TE BF'!$AB$13+'TE CVA'!$AB$13)*(1-CUSTOS!$M$35)</f>
        <v>100.05809889521676</v>
      </c>
      <c r="AB206" s="6">
        <f>$K$206*$V$206</f>
        <v>0</v>
      </c>
      <c r="AC206" s="6">
        <f>$M$206*$W$206</f>
        <v>3708.75828</v>
      </c>
      <c r="AD206" s="6">
        <f>$O$206*$X$206</f>
        <v>1835.3586</v>
      </c>
      <c r="AE206" s="6">
        <f>$K$206*$Y$206</f>
        <v>0</v>
      </c>
      <c r="AF206" s="6">
        <f ca="1">$M$206*$Z$206</f>
        <v>4080.4026495716189</v>
      </c>
      <c r="AG206" s="6">
        <f>$O$206*$AA$206</f>
        <v>1647.7567726064296</v>
      </c>
    </row>
    <row r="207" spans="1:33" ht="11.25" customHeight="1" x14ac:dyDescent="0.3">
      <c r="A207" s="4" t="s">
        <v>21</v>
      </c>
      <c r="B207" s="4" t="s">
        <v>22</v>
      </c>
      <c r="C207" s="4" t="s">
        <v>23</v>
      </c>
      <c r="D207" s="4" t="s">
        <v>24</v>
      </c>
      <c r="E207" s="4" t="s">
        <v>30</v>
      </c>
      <c r="F207" s="4" t="s">
        <v>25</v>
      </c>
      <c r="G207" s="4" t="s">
        <v>25</v>
      </c>
      <c r="H207" s="4" t="s">
        <v>25</v>
      </c>
      <c r="I207" s="5">
        <v>44743</v>
      </c>
      <c r="J207" s="6">
        <v>0</v>
      </c>
      <c r="K207" s="6">
        <v>0</v>
      </c>
      <c r="L207" s="6">
        <v>15.904</v>
      </c>
      <c r="M207" s="6">
        <v>15.904</v>
      </c>
      <c r="N207" s="6">
        <v>15.904</v>
      </c>
      <c r="O207" s="6">
        <v>15.904</v>
      </c>
      <c r="P207" s="6">
        <v>66</v>
      </c>
      <c r="Q207" s="4" t="s">
        <v>26</v>
      </c>
      <c r="R207" s="4">
        <v>0</v>
      </c>
      <c r="S207" s="6">
        <v>0</v>
      </c>
      <c r="T207" s="6">
        <v>36</v>
      </c>
      <c r="U207" s="6">
        <v>78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225.21</v>
      </c>
      <c r="X207" s="6">
        <f>IF(ISERROR(VLOOKUP($U$207,'TAR FIN'!$A$1:$O$85,15,0)),0,VLOOKUP($U$207,'TAR FIN'!$A$1:$O$85,15,0))</f>
        <v>111.45</v>
      </c>
      <c r="Y207" s="6"/>
      <c r="Z207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07" s="6">
        <f>('TE BE'!$AB$13+'TE BF'!$AB$13+'TE CVA'!$AB$13)*(1-CUSTOS!$M$35)</f>
        <v>100.05809889521676</v>
      </c>
      <c r="AB207" s="6">
        <f>$K$207*$V$207</f>
        <v>0</v>
      </c>
      <c r="AC207" s="6">
        <f>$M$207*$W$207</f>
        <v>3581.7398400000002</v>
      </c>
      <c r="AD207" s="6">
        <f>$O$207*$X$207</f>
        <v>1772.5008</v>
      </c>
      <c r="AE207" s="6">
        <f>$K$207*$Y$207</f>
        <v>0</v>
      </c>
      <c r="AF207" s="6">
        <f ca="1">$M$207*$Z$207</f>
        <v>3940.6560443761859</v>
      </c>
      <c r="AG207" s="6">
        <f>$O$207*$AA$207</f>
        <v>1591.3240048295272</v>
      </c>
    </row>
    <row r="208" spans="1:33" ht="11.25" customHeight="1" x14ac:dyDescent="0.3">
      <c r="A208" s="4" t="s">
        <v>21</v>
      </c>
      <c r="B208" s="4" t="s">
        <v>22</v>
      </c>
      <c r="C208" s="4" t="s">
        <v>23</v>
      </c>
      <c r="D208" s="4" t="s">
        <v>24</v>
      </c>
      <c r="E208" s="4" t="s">
        <v>30</v>
      </c>
      <c r="F208" s="4" t="s">
        <v>25</v>
      </c>
      <c r="G208" s="4" t="s">
        <v>25</v>
      </c>
      <c r="H208" s="4" t="s">
        <v>25</v>
      </c>
      <c r="I208" s="5">
        <v>44774</v>
      </c>
      <c r="J208" s="6">
        <v>0</v>
      </c>
      <c r="K208" s="6">
        <v>0</v>
      </c>
      <c r="L208" s="6">
        <v>13.456</v>
      </c>
      <c r="M208" s="6">
        <v>13.456</v>
      </c>
      <c r="N208" s="6">
        <v>13.456</v>
      </c>
      <c r="O208" s="6">
        <v>13.456</v>
      </c>
      <c r="P208" s="6">
        <v>33</v>
      </c>
      <c r="Q208" s="4" t="s">
        <v>26</v>
      </c>
      <c r="R208" s="4">
        <v>0</v>
      </c>
      <c r="S208" s="6">
        <v>0</v>
      </c>
      <c r="T208" s="6">
        <v>36</v>
      </c>
      <c r="U208" s="6">
        <v>78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225.21</v>
      </c>
      <c r="X208" s="6">
        <f>IF(ISERROR(VLOOKUP($U$208,'TAR FIN'!$A$1:$O$85,15,0)),0,VLOOKUP($U$208,'TAR FIN'!$A$1:$O$85,15,0))</f>
        <v>111.45</v>
      </c>
      <c r="Y208" s="6"/>
      <c r="Z208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08" s="6">
        <f>('TE BE'!$AB$13+'TE BF'!$AB$13+'TE CVA'!$AB$13)*(1-CUSTOS!$M$35)</f>
        <v>100.05809889521676</v>
      </c>
      <c r="AB208" s="6">
        <f>$K$208*$V$208</f>
        <v>0</v>
      </c>
      <c r="AC208" s="6">
        <f>$M$208*$W$208</f>
        <v>3030.4257600000001</v>
      </c>
      <c r="AD208" s="6">
        <f>$O$208*$X$208</f>
        <v>1499.6712</v>
      </c>
      <c r="AE208" s="6">
        <f>$K$208*$Y$208</f>
        <v>0</v>
      </c>
      <c r="AF208" s="6">
        <f ca="1">$M$208*$Z$208</f>
        <v>3334.0963111874971</v>
      </c>
      <c r="AG208" s="6">
        <f>$O$208*$AA$208</f>
        <v>1346.3817787340367</v>
      </c>
    </row>
    <row r="209" spans="1:33" ht="11.25" customHeight="1" x14ac:dyDescent="0.3">
      <c r="A209" s="4" t="s">
        <v>21</v>
      </c>
      <c r="B209" s="4" t="s">
        <v>22</v>
      </c>
      <c r="C209" s="4" t="s">
        <v>23</v>
      </c>
      <c r="D209" s="4" t="s">
        <v>24</v>
      </c>
      <c r="E209" s="4" t="s">
        <v>31</v>
      </c>
      <c r="F209" s="4" t="s">
        <v>25</v>
      </c>
      <c r="G209" s="4" t="s">
        <v>25</v>
      </c>
      <c r="H209" s="4" t="s">
        <v>25</v>
      </c>
      <c r="I209" s="5">
        <v>44440</v>
      </c>
      <c r="J209" s="6">
        <v>0</v>
      </c>
      <c r="K209" s="6">
        <v>0</v>
      </c>
      <c r="L209" s="6">
        <v>11.212</v>
      </c>
      <c r="M209" s="6">
        <v>11.212</v>
      </c>
      <c r="N209" s="6">
        <v>11.212</v>
      </c>
      <c r="O209" s="6">
        <v>11.212</v>
      </c>
      <c r="P209" s="6">
        <v>114</v>
      </c>
      <c r="Q209" s="4" t="s">
        <v>26</v>
      </c>
      <c r="R209" s="4">
        <v>0</v>
      </c>
      <c r="S209" s="6">
        <v>0</v>
      </c>
      <c r="T209" s="6">
        <v>38</v>
      </c>
      <c r="U209" s="6">
        <v>79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337.82</v>
      </c>
      <c r="X209" s="6">
        <f>IF(ISERROR(VLOOKUP($U$209,'TAR FIN'!$A$1:$O$85,15,0)),0,VLOOKUP($U$209,'TAR FIN'!$A$1:$O$85,15,0))</f>
        <v>167.17</v>
      </c>
      <c r="Y209" s="6"/>
      <c r="Z209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09" s="6">
        <f>('TE BE'!$AB$14+'TE BF'!$AB$14+'TE CVA'!$AB$14)*(1-CUSTOS!$M$36)</f>
        <v>150.08714834282515</v>
      </c>
      <c r="AB209" s="6">
        <f>$K$209*$V$209</f>
        <v>0</v>
      </c>
      <c r="AC209" s="6">
        <f>$M$209*$W$209</f>
        <v>3787.6378399999999</v>
      </c>
      <c r="AD209" s="6">
        <f>$O$209*$X$209</f>
        <v>1874.3100399999998</v>
      </c>
      <c r="AE209" s="6">
        <f>$K$209*$Y$209</f>
        <v>0</v>
      </c>
      <c r="AF209" s="6">
        <f ca="1">$M$209*$Z$209</f>
        <v>4167.1248336467997</v>
      </c>
      <c r="AG209" s="6">
        <f>$O$209*$AA$209</f>
        <v>1682.7771072197554</v>
      </c>
    </row>
    <row r="210" spans="1:33" ht="11.25" customHeight="1" x14ac:dyDescent="0.3">
      <c r="A210" s="4" t="s">
        <v>21</v>
      </c>
      <c r="B210" s="4" t="s">
        <v>22</v>
      </c>
      <c r="C210" s="4" t="s">
        <v>23</v>
      </c>
      <c r="D210" s="4" t="s">
        <v>24</v>
      </c>
      <c r="E210" s="4" t="s">
        <v>31</v>
      </c>
      <c r="F210" s="4" t="s">
        <v>25</v>
      </c>
      <c r="G210" s="4" t="s">
        <v>25</v>
      </c>
      <c r="H210" s="4" t="s">
        <v>25</v>
      </c>
      <c r="I210" s="5">
        <v>44470</v>
      </c>
      <c r="J210" s="6">
        <v>0</v>
      </c>
      <c r="K210" s="6">
        <v>0</v>
      </c>
      <c r="L210" s="6">
        <v>11.162000000000001</v>
      </c>
      <c r="M210" s="6">
        <v>11.162000000000001</v>
      </c>
      <c r="N210" s="6">
        <v>11.162000000000001</v>
      </c>
      <c r="O210" s="6">
        <v>11.162000000000001</v>
      </c>
      <c r="P210" s="6">
        <v>109</v>
      </c>
      <c r="Q210" s="4" t="s">
        <v>26</v>
      </c>
      <c r="R210" s="4">
        <v>0</v>
      </c>
      <c r="S210" s="6">
        <v>0</v>
      </c>
      <c r="T210" s="6">
        <v>38</v>
      </c>
      <c r="U210" s="6">
        <v>79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337.82</v>
      </c>
      <c r="X210" s="6">
        <f>IF(ISERROR(VLOOKUP($U$210,'TAR FIN'!$A$1:$O$85,15,0)),0,VLOOKUP($U$210,'TAR FIN'!$A$1:$O$85,15,0))</f>
        <v>167.17</v>
      </c>
      <c r="Y210" s="6"/>
      <c r="Z210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10" s="6">
        <f>('TE BE'!$AB$14+'TE BF'!$AB$14+'TE CVA'!$AB$14)*(1-CUSTOS!$M$36)</f>
        <v>150.08714834282515</v>
      </c>
      <c r="AB210" s="6">
        <f>$K$210*$V$210</f>
        <v>0</v>
      </c>
      <c r="AC210" s="6">
        <f>$M$210*$W$210</f>
        <v>3770.7468400000002</v>
      </c>
      <c r="AD210" s="6">
        <f>$O$210*$X$210</f>
        <v>1865.95154</v>
      </c>
      <c r="AE210" s="6">
        <f>$K$210*$Y$210</f>
        <v>0</v>
      </c>
      <c r="AF210" s="6">
        <f ca="1">$M$210*$Z$210</f>
        <v>4148.5415084878323</v>
      </c>
      <c r="AG210" s="6">
        <f>$O$210*$AA$210</f>
        <v>1675.2727498026145</v>
      </c>
    </row>
    <row r="211" spans="1:33" ht="11.25" customHeight="1" x14ac:dyDescent="0.3">
      <c r="A211" s="4" t="s">
        <v>21</v>
      </c>
      <c r="B211" s="4" t="s">
        <v>22</v>
      </c>
      <c r="C211" s="4" t="s">
        <v>23</v>
      </c>
      <c r="D211" s="4" t="s">
        <v>24</v>
      </c>
      <c r="E211" s="4" t="s">
        <v>31</v>
      </c>
      <c r="F211" s="4" t="s">
        <v>25</v>
      </c>
      <c r="G211" s="4" t="s">
        <v>25</v>
      </c>
      <c r="H211" s="4" t="s">
        <v>25</v>
      </c>
      <c r="I211" s="5">
        <v>44501</v>
      </c>
      <c r="J211" s="6">
        <v>0</v>
      </c>
      <c r="K211" s="6">
        <v>0</v>
      </c>
      <c r="L211" s="6">
        <v>10.247999999999999</v>
      </c>
      <c r="M211" s="6">
        <v>10.247999999999999</v>
      </c>
      <c r="N211" s="6">
        <v>10.247999999999999</v>
      </c>
      <c r="O211" s="6">
        <v>10.247999999999999</v>
      </c>
      <c r="P211" s="6">
        <v>106</v>
      </c>
      <c r="Q211" s="4" t="s">
        <v>26</v>
      </c>
      <c r="R211" s="4">
        <v>0</v>
      </c>
      <c r="S211" s="6">
        <v>0</v>
      </c>
      <c r="T211" s="6">
        <v>38</v>
      </c>
      <c r="U211" s="6">
        <v>79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337.82</v>
      </c>
      <c r="X211" s="6">
        <f>IF(ISERROR(VLOOKUP($U$211,'TAR FIN'!$A$1:$O$85,15,0)),0,VLOOKUP($U$211,'TAR FIN'!$A$1:$O$85,15,0))</f>
        <v>167.17</v>
      </c>
      <c r="Y211" s="6"/>
      <c r="Z211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11" s="6">
        <f>('TE BE'!$AB$14+'TE BF'!$AB$14+'TE CVA'!$AB$14)*(1-CUSTOS!$M$36)</f>
        <v>150.08714834282515</v>
      </c>
      <c r="AB211" s="6">
        <f>$K$211*$V$211</f>
        <v>0</v>
      </c>
      <c r="AC211" s="6">
        <f>$M$211*$W$211</f>
        <v>3461.9793599999998</v>
      </c>
      <c r="AD211" s="6">
        <f>$O$211*$X$211</f>
        <v>1713.1581599999997</v>
      </c>
      <c r="AE211" s="6">
        <f>$K$211*$Y$211</f>
        <v>0</v>
      </c>
      <c r="AF211" s="6">
        <f ca="1">$M$211*$Z$211</f>
        <v>3808.8383245819123</v>
      </c>
      <c r="AG211" s="6">
        <f>$O$211*$AA$211</f>
        <v>1538.093096217272</v>
      </c>
    </row>
    <row r="212" spans="1:33" ht="11.25" customHeight="1" x14ac:dyDescent="0.3">
      <c r="A212" s="4" t="s">
        <v>27</v>
      </c>
      <c r="B212" s="4" t="s">
        <v>22</v>
      </c>
      <c r="C212" s="4" t="s">
        <v>23</v>
      </c>
      <c r="D212" s="4" t="s">
        <v>24</v>
      </c>
      <c r="E212" s="4" t="s">
        <v>31</v>
      </c>
      <c r="F212" s="4" t="s">
        <v>25</v>
      </c>
      <c r="G212" s="4" t="s">
        <v>25</v>
      </c>
      <c r="H212" s="4" t="s">
        <v>25</v>
      </c>
      <c r="I212" s="5">
        <v>44501</v>
      </c>
      <c r="J212" s="6">
        <v>0</v>
      </c>
      <c r="K212" s="6">
        <v>0</v>
      </c>
      <c r="L212" s="6">
        <v>4.7E-2</v>
      </c>
      <c r="M212" s="6">
        <v>4.7E-2</v>
      </c>
      <c r="N212" s="6">
        <v>4.7E-2</v>
      </c>
      <c r="O212" s="6">
        <v>4.7E-2</v>
      </c>
      <c r="P212" s="6">
        <v>0</v>
      </c>
      <c r="Q212" s="4" t="s">
        <v>26</v>
      </c>
      <c r="R212" s="4">
        <v>0</v>
      </c>
      <c r="S212" s="6">
        <v>0</v>
      </c>
      <c r="T212" s="6">
        <v>38</v>
      </c>
      <c r="U212" s="6">
        <v>79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337.82</v>
      </c>
      <c r="X212" s="6">
        <f>IF(ISERROR(VLOOKUP($U$212,'TAR FIN'!$A$1:$O$85,15,0)),0,VLOOKUP($U$212,'TAR FIN'!$A$1:$O$85,15,0))</f>
        <v>167.17</v>
      </c>
      <c r="Y212" s="6"/>
      <c r="Z212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12" s="6">
        <f>('TE BE'!$AB$14+'TE BF'!$AB$14+'TE CVA'!$AB$14)*(1-CUSTOS!$M$36)</f>
        <v>150.08714834282515</v>
      </c>
      <c r="AB212" s="6">
        <f>$K$212*$V$212</f>
        <v>0</v>
      </c>
      <c r="AC212" s="6">
        <f>$M$212*$W$212</f>
        <v>15.87754</v>
      </c>
      <c r="AD212" s="6">
        <f>$O$212*$X$212</f>
        <v>7.8569899999999997</v>
      </c>
      <c r="AE212" s="6">
        <f>$K$212*$Y$212</f>
        <v>0</v>
      </c>
      <c r="AF212" s="6">
        <f ca="1">$M$212*$Z$212</f>
        <v>17.468325649429147</v>
      </c>
      <c r="AG212" s="6">
        <f>$O$212*$AA$212</f>
        <v>7.0540959721127816</v>
      </c>
    </row>
    <row r="213" spans="1:33" ht="11.25" customHeight="1" x14ac:dyDescent="0.3">
      <c r="A213" s="4" t="s">
        <v>21</v>
      </c>
      <c r="B213" s="4" t="s">
        <v>22</v>
      </c>
      <c r="C213" s="4" t="s">
        <v>23</v>
      </c>
      <c r="D213" s="4" t="s">
        <v>24</v>
      </c>
      <c r="E213" s="4" t="s">
        <v>31</v>
      </c>
      <c r="F213" s="4" t="s">
        <v>25</v>
      </c>
      <c r="G213" s="4" t="s">
        <v>25</v>
      </c>
      <c r="H213" s="4" t="s">
        <v>25</v>
      </c>
      <c r="I213" s="5">
        <v>44531</v>
      </c>
      <c r="J213" s="6">
        <v>0</v>
      </c>
      <c r="K213" s="6">
        <v>0</v>
      </c>
      <c r="L213" s="6">
        <v>11.436999999999999</v>
      </c>
      <c r="M213" s="6">
        <v>11.436999999999999</v>
      </c>
      <c r="N213" s="6">
        <v>11.436999999999999</v>
      </c>
      <c r="O213" s="6">
        <v>11.436999999999999</v>
      </c>
      <c r="P213" s="6">
        <v>111</v>
      </c>
      <c r="Q213" s="4" t="s">
        <v>26</v>
      </c>
      <c r="R213" s="4">
        <v>0</v>
      </c>
      <c r="S213" s="6">
        <v>0</v>
      </c>
      <c r="T213" s="6">
        <v>38</v>
      </c>
      <c r="U213" s="6">
        <v>79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337.82</v>
      </c>
      <c r="X213" s="6">
        <f>IF(ISERROR(VLOOKUP($U$213,'TAR FIN'!$A$1:$O$85,15,0)),0,VLOOKUP($U$213,'TAR FIN'!$A$1:$O$85,15,0))</f>
        <v>167.17</v>
      </c>
      <c r="Y213" s="6"/>
      <c r="Z213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13" s="6">
        <f>('TE BE'!$AB$14+'TE BF'!$AB$14+'TE CVA'!$AB$14)*(1-CUSTOS!$M$36)</f>
        <v>150.08714834282515</v>
      </c>
      <c r="AB213" s="6">
        <f>$K$213*$V$213</f>
        <v>0</v>
      </c>
      <c r="AC213" s="6">
        <f>$M$213*$W$213</f>
        <v>3863.6473399999995</v>
      </c>
      <c r="AD213" s="6">
        <f>$O$213*$X$213</f>
        <v>1911.9232899999997</v>
      </c>
      <c r="AE213" s="6">
        <f>$K$213*$Y$213</f>
        <v>0</v>
      </c>
      <c r="AF213" s="6">
        <f ca="1">$M$213*$Z$213</f>
        <v>4250.7497968621519</v>
      </c>
      <c r="AG213" s="6">
        <f>$O$213*$AA$213</f>
        <v>1716.5467155968911</v>
      </c>
    </row>
    <row r="214" spans="1:33" ht="11.25" customHeight="1" x14ac:dyDescent="0.3">
      <c r="A214" s="4" t="s">
        <v>21</v>
      </c>
      <c r="B214" s="4" t="s">
        <v>22</v>
      </c>
      <c r="C214" s="4" t="s">
        <v>23</v>
      </c>
      <c r="D214" s="4" t="s">
        <v>24</v>
      </c>
      <c r="E214" s="4" t="s">
        <v>31</v>
      </c>
      <c r="F214" s="4" t="s">
        <v>25</v>
      </c>
      <c r="G214" s="4" t="s">
        <v>25</v>
      </c>
      <c r="H214" s="4" t="s">
        <v>25</v>
      </c>
      <c r="I214" s="5">
        <v>44562</v>
      </c>
      <c r="J214" s="6">
        <v>0</v>
      </c>
      <c r="K214" s="6">
        <v>0</v>
      </c>
      <c r="L214" s="6">
        <v>13.813000000000001</v>
      </c>
      <c r="M214" s="6">
        <v>13.813000000000001</v>
      </c>
      <c r="N214" s="6">
        <v>13.813000000000001</v>
      </c>
      <c r="O214" s="6">
        <v>13.813000000000001</v>
      </c>
      <c r="P214" s="6">
        <v>92</v>
      </c>
      <c r="Q214" s="4" t="s">
        <v>26</v>
      </c>
      <c r="R214" s="4">
        <v>0</v>
      </c>
      <c r="S214" s="6">
        <v>0</v>
      </c>
      <c r="T214" s="6">
        <v>38</v>
      </c>
      <c r="U214" s="6">
        <v>79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337.82</v>
      </c>
      <c r="X214" s="6">
        <f>IF(ISERROR(VLOOKUP($U$214,'TAR FIN'!$A$1:$O$85,15,0)),0,VLOOKUP($U$214,'TAR FIN'!$A$1:$O$85,15,0))</f>
        <v>167.17</v>
      </c>
      <c r="Y214" s="6"/>
      <c r="Z214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14" s="6">
        <f>('TE BE'!$AB$14+'TE BF'!$AB$14+'TE CVA'!$AB$14)*(1-CUSTOS!$M$36)</f>
        <v>150.08714834282515</v>
      </c>
      <c r="AB214" s="6">
        <f>$K$214*$V$214</f>
        <v>0</v>
      </c>
      <c r="AC214" s="6">
        <f>$M$214*$W$214</f>
        <v>4666.3076600000004</v>
      </c>
      <c r="AD214" s="6">
        <f>$O$214*$X$214</f>
        <v>2309.1192099999998</v>
      </c>
      <c r="AE214" s="6">
        <f>$K$214*$Y$214</f>
        <v>0</v>
      </c>
      <c r="AF214" s="6">
        <f ca="1">$M$214*$Z$214</f>
        <v>5133.8294084162726</v>
      </c>
      <c r="AG214" s="6">
        <f>$O$214*$AA$214</f>
        <v>2073.1537800594438</v>
      </c>
    </row>
    <row r="215" spans="1:33" ht="11.25" customHeight="1" x14ac:dyDescent="0.3">
      <c r="A215" s="4" t="s">
        <v>21</v>
      </c>
      <c r="B215" s="4" t="s">
        <v>22</v>
      </c>
      <c r="C215" s="4" t="s">
        <v>23</v>
      </c>
      <c r="D215" s="4" t="s">
        <v>24</v>
      </c>
      <c r="E215" s="4" t="s">
        <v>31</v>
      </c>
      <c r="F215" s="4" t="s">
        <v>25</v>
      </c>
      <c r="G215" s="4" t="s">
        <v>25</v>
      </c>
      <c r="H215" s="4" t="s">
        <v>25</v>
      </c>
      <c r="I215" s="5">
        <v>44593</v>
      </c>
      <c r="J215" s="6">
        <v>0</v>
      </c>
      <c r="K215" s="6">
        <v>0</v>
      </c>
      <c r="L215" s="6">
        <v>14.574</v>
      </c>
      <c r="M215" s="6">
        <v>14.574</v>
      </c>
      <c r="N215" s="6">
        <v>14.574</v>
      </c>
      <c r="O215" s="6">
        <v>14.574</v>
      </c>
      <c r="P215" s="6">
        <v>84</v>
      </c>
      <c r="Q215" s="4" t="s">
        <v>26</v>
      </c>
      <c r="R215" s="4">
        <v>0</v>
      </c>
      <c r="S215" s="6">
        <v>0</v>
      </c>
      <c r="T215" s="6">
        <v>38</v>
      </c>
      <c r="U215" s="6">
        <v>79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337.82</v>
      </c>
      <c r="X215" s="6">
        <f>IF(ISERROR(VLOOKUP($U$215,'TAR FIN'!$A$1:$O$85,15,0)),0,VLOOKUP($U$215,'TAR FIN'!$A$1:$O$85,15,0))</f>
        <v>167.17</v>
      </c>
      <c r="Y215" s="6"/>
      <c r="Z215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15" s="6">
        <f>('TE BE'!$AB$14+'TE BF'!$AB$14+'TE CVA'!$AB$14)*(1-CUSTOS!$M$36)</f>
        <v>150.08714834282515</v>
      </c>
      <c r="AB215" s="6">
        <f>$K$215*$V$215</f>
        <v>0</v>
      </c>
      <c r="AC215" s="6">
        <f>$M$215*$W$215</f>
        <v>4923.38868</v>
      </c>
      <c r="AD215" s="6">
        <f>$O$215*$X$215</f>
        <v>2436.3355799999999</v>
      </c>
      <c r="AE215" s="6">
        <f>$K$215*$Y$215</f>
        <v>0</v>
      </c>
      <c r="AF215" s="6">
        <f ca="1">$M$215*$Z$215</f>
        <v>5416.6676173357528</v>
      </c>
      <c r="AG215" s="6">
        <f>$O$215*$AA$215</f>
        <v>2187.3700999483335</v>
      </c>
    </row>
    <row r="216" spans="1:33" ht="11.25" customHeight="1" x14ac:dyDescent="0.3">
      <c r="A216" s="4" t="s">
        <v>21</v>
      </c>
      <c r="B216" s="4" t="s">
        <v>22</v>
      </c>
      <c r="C216" s="4" t="s">
        <v>23</v>
      </c>
      <c r="D216" s="4" t="s">
        <v>24</v>
      </c>
      <c r="E216" s="4" t="s">
        <v>31</v>
      </c>
      <c r="F216" s="4" t="s">
        <v>25</v>
      </c>
      <c r="G216" s="4" t="s">
        <v>25</v>
      </c>
      <c r="H216" s="4" t="s">
        <v>25</v>
      </c>
      <c r="I216" s="5">
        <v>44621</v>
      </c>
      <c r="J216" s="6">
        <v>0</v>
      </c>
      <c r="K216" s="6">
        <v>0</v>
      </c>
      <c r="L216" s="6">
        <v>15.63</v>
      </c>
      <c r="M216" s="6">
        <v>15.63</v>
      </c>
      <c r="N216" s="6">
        <v>15.63</v>
      </c>
      <c r="O216" s="6">
        <v>15.63</v>
      </c>
      <c r="P216" s="6">
        <v>99</v>
      </c>
      <c r="Q216" s="4" t="s">
        <v>26</v>
      </c>
      <c r="R216" s="4">
        <v>0</v>
      </c>
      <c r="S216" s="6">
        <v>0</v>
      </c>
      <c r="T216" s="6">
        <v>38</v>
      </c>
      <c r="U216" s="6">
        <v>79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337.82</v>
      </c>
      <c r="X216" s="6">
        <f>IF(ISERROR(VLOOKUP($U$216,'TAR FIN'!$A$1:$O$85,15,0)),0,VLOOKUP($U$216,'TAR FIN'!$A$1:$O$85,15,0))</f>
        <v>167.17</v>
      </c>
      <c r="Y216" s="6"/>
      <c r="Z216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16" s="6">
        <f>('TE BE'!$AB$14+'TE BF'!$AB$14+'TE CVA'!$AB$14)*(1-CUSTOS!$M$36)</f>
        <v>150.08714834282515</v>
      </c>
      <c r="AB216" s="6">
        <f>$K$216*$V$216</f>
        <v>0</v>
      </c>
      <c r="AC216" s="6">
        <f>$M$216*$W$216</f>
        <v>5280.1266000000005</v>
      </c>
      <c r="AD216" s="6">
        <f>$O$216*$X$216</f>
        <v>2612.8670999999999</v>
      </c>
      <c r="AE216" s="6">
        <f>$K$216*$Y$216</f>
        <v>0</v>
      </c>
      <c r="AF216" s="6">
        <f ca="1">$M$216*$Z$216</f>
        <v>5809.1474446931397</v>
      </c>
      <c r="AG216" s="6">
        <f>$O$216*$AA$216</f>
        <v>2345.8621285983572</v>
      </c>
    </row>
    <row r="217" spans="1:33" ht="11.25" customHeight="1" x14ac:dyDescent="0.3">
      <c r="A217" s="4" t="s">
        <v>21</v>
      </c>
      <c r="B217" s="4" t="s">
        <v>22</v>
      </c>
      <c r="C217" s="4" t="s">
        <v>23</v>
      </c>
      <c r="D217" s="4" t="s">
        <v>24</v>
      </c>
      <c r="E217" s="4" t="s">
        <v>31</v>
      </c>
      <c r="F217" s="4" t="s">
        <v>25</v>
      </c>
      <c r="G217" s="4" t="s">
        <v>25</v>
      </c>
      <c r="H217" s="4" t="s">
        <v>25</v>
      </c>
      <c r="I217" s="5">
        <v>44652</v>
      </c>
      <c r="J217" s="6">
        <v>0</v>
      </c>
      <c r="K217" s="6">
        <v>0</v>
      </c>
      <c r="L217" s="6">
        <v>25.216000000000001</v>
      </c>
      <c r="M217" s="6">
        <v>25.216000000000001</v>
      </c>
      <c r="N217" s="6">
        <v>25.216000000000001</v>
      </c>
      <c r="O217" s="6">
        <v>25.216000000000001</v>
      </c>
      <c r="P217" s="6">
        <v>172</v>
      </c>
      <c r="Q217" s="4" t="s">
        <v>26</v>
      </c>
      <c r="R217" s="4">
        <v>0</v>
      </c>
      <c r="S217" s="6">
        <v>0</v>
      </c>
      <c r="T217" s="6">
        <v>38</v>
      </c>
      <c r="U217" s="6">
        <v>79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337.82</v>
      </c>
      <c r="X217" s="6">
        <f>IF(ISERROR(VLOOKUP($U$217,'TAR FIN'!$A$1:$O$85,15,0)),0,VLOOKUP($U$217,'TAR FIN'!$A$1:$O$85,15,0))</f>
        <v>167.17</v>
      </c>
      <c r="Y217" s="6"/>
      <c r="Z217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17" s="6">
        <f>('TE BE'!$AB$14+'TE BF'!$AB$14+'TE CVA'!$AB$14)*(1-CUSTOS!$M$36)</f>
        <v>150.08714834282515</v>
      </c>
      <c r="AB217" s="6">
        <f>$K$217*$V$217</f>
        <v>0</v>
      </c>
      <c r="AC217" s="6">
        <f>$M$217*$W$217</f>
        <v>8518.4691199999997</v>
      </c>
      <c r="AD217" s="6">
        <f>$O$217*$X$217</f>
        <v>4215.3587200000002</v>
      </c>
      <c r="AE217" s="6">
        <f>$K$217*$Y$217</f>
        <v>0</v>
      </c>
      <c r="AF217" s="6">
        <f ca="1">$M$217*$Z$217</f>
        <v>9371.9425441703261</v>
      </c>
      <c r="AG217" s="6">
        <f>$O$217*$AA$217</f>
        <v>3784.5975326126791</v>
      </c>
    </row>
    <row r="218" spans="1:33" ht="11.25" customHeight="1" x14ac:dyDescent="0.3">
      <c r="A218" s="4" t="s">
        <v>27</v>
      </c>
      <c r="B218" s="4" t="s">
        <v>22</v>
      </c>
      <c r="C218" s="4" t="s">
        <v>23</v>
      </c>
      <c r="D218" s="4" t="s">
        <v>24</v>
      </c>
      <c r="E218" s="4" t="s">
        <v>31</v>
      </c>
      <c r="F218" s="4" t="s">
        <v>25</v>
      </c>
      <c r="G218" s="4" t="s">
        <v>25</v>
      </c>
      <c r="H218" s="4" t="s">
        <v>25</v>
      </c>
      <c r="I218" s="5">
        <v>44652</v>
      </c>
      <c r="J218" s="6">
        <v>0</v>
      </c>
      <c r="K218" s="6">
        <v>0</v>
      </c>
      <c r="L218" s="6">
        <v>-0.05</v>
      </c>
      <c r="M218" s="6">
        <v>-0.05</v>
      </c>
      <c r="N218" s="6">
        <v>-0.05</v>
      </c>
      <c r="O218" s="6">
        <v>-0.05</v>
      </c>
      <c r="P218" s="6">
        <v>0</v>
      </c>
      <c r="Q218" s="4" t="s">
        <v>26</v>
      </c>
      <c r="R218" s="4">
        <v>0</v>
      </c>
      <c r="S218" s="6">
        <v>0</v>
      </c>
      <c r="T218" s="6">
        <v>38</v>
      </c>
      <c r="U218" s="6">
        <v>79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337.82</v>
      </c>
      <c r="X218" s="6">
        <f>IF(ISERROR(VLOOKUP($U$218,'TAR FIN'!$A$1:$O$85,15,0)),0,VLOOKUP($U$218,'TAR FIN'!$A$1:$O$85,15,0))</f>
        <v>167.17</v>
      </c>
      <c r="Y218" s="6"/>
      <c r="Z218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18" s="6">
        <f>('TE BE'!$AB$14+'TE BF'!$AB$14+'TE CVA'!$AB$14)*(1-CUSTOS!$M$36)</f>
        <v>150.08714834282515</v>
      </c>
      <c r="AB218" s="6">
        <f>$K$218*$V$218</f>
        <v>0</v>
      </c>
      <c r="AC218" s="6">
        <f>$M$218*$W$218</f>
        <v>-16.891000000000002</v>
      </c>
      <c r="AD218" s="6">
        <f>$O$218*$X$218</f>
        <v>-8.3584999999999994</v>
      </c>
      <c r="AE218" s="6">
        <f>$K$218*$Y$218</f>
        <v>0</v>
      </c>
      <c r="AF218" s="6">
        <f ca="1">$M$218*$Z$218</f>
        <v>-18.583325158967178</v>
      </c>
      <c r="AG218" s="6">
        <f>$O$218*$AA$218</f>
        <v>-7.5043574171412573</v>
      </c>
    </row>
    <row r="219" spans="1:33" ht="11.25" customHeight="1" x14ac:dyDescent="0.3">
      <c r="A219" s="4" t="s">
        <v>21</v>
      </c>
      <c r="B219" s="4" t="s">
        <v>22</v>
      </c>
      <c r="C219" s="4" t="s">
        <v>23</v>
      </c>
      <c r="D219" s="4" t="s">
        <v>24</v>
      </c>
      <c r="E219" s="4" t="s">
        <v>31</v>
      </c>
      <c r="F219" s="4" t="s">
        <v>25</v>
      </c>
      <c r="G219" s="4" t="s">
        <v>25</v>
      </c>
      <c r="H219" s="4" t="s">
        <v>25</v>
      </c>
      <c r="I219" s="5">
        <v>44682</v>
      </c>
      <c r="J219" s="6">
        <v>0</v>
      </c>
      <c r="K219" s="6">
        <v>0</v>
      </c>
      <c r="L219" s="6">
        <v>15.872</v>
      </c>
      <c r="M219" s="6">
        <v>15.872</v>
      </c>
      <c r="N219" s="6">
        <v>15.872</v>
      </c>
      <c r="O219" s="6">
        <v>15.872</v>
      </c>
      <c r="P219" s="6">
        <v>135</v>
      </c>
      <c r="Q219" s="4" t="s">
        <v>26</v>
      </c>
      <c r="R219" s="4">
        <v>0</v>
      </c>
      <c r="S219" s="6">
        <v>0</v>
      </c>
      <c r="T219" s="6">
        <v>38</v>
      </c>
      <c r="U219" s="6">
        <v>79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337.82</v>
      </c>
      <c r="X219" s="6">
        <f>IF(ISERROR(VLOOKUP($U$219,'TAR FIN'!$A$1:$O$85,15,0)),0,VLOOKUP($U$219,'TAR FIN'!$A$1:$O$85,15,0))</f>
        <v>167.17</v>
      </c>
      <c r="Y219" s="6"/>
      <c r="Z219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19" s="6">
        <f>('TE BE'!$AB$14+'TE BF'!$AB$14+'TE CVA'!$AB$14)*(1-CUSTOS!$M$36)</f>
        <v>150.08714834282515</v>
      </c>
      <c r="AB219" s="6">
        <f>$K$219*$V$219</f>
        <v>0</v>
      </c>
      <c r="AC219" s="6">
        <f>$M$219*$W$219</f>
        <v>5361.8790399999998</v>
      </c>
      <c r="AD219" s="6">
        <f>$O$219*$X$219</f>
        <v>2653.32224</v>
      </c>
      <c r="AE219" s="6">
        <f>$K$219*$Y$219</f>
        <v>0</v>
      </c>
      <c r="AF219" s="6">
        <f ca="1">$M$219*$Z$219</f>
        <v>5899.0907384625407</v>
      </c>
      <c r="AG219" s="6">
        <f>$O$219*$AA$219</f>
        <v>2382.1832184973205</v>
      </c>
    </row>
    <row r="220" spans="1:33" ht="11.25" customHeight="1" x14ac:dyDescent="0.3">
      <c r="A220" s="4" t="s">
        <v>28</v>
      </c>
      <c r="B220" s="4" t="s">
        <v>22</v>
      </c>
      <c r="C220" s="4" t="s">
        <v>23</v>
      </c>
      <c r="D220" s="4" t="s">
        <v>24</v>
      </c>
      <c r="E220" s="4" t="s">
        <v>31</v>
      </c>
      <c r="F220" s="4" t="s">
        <v>25</v>
      </c>
      <c r="G220" s="4" t="s">
        <v>25</v>
      </c>
      <c r="H220" s="4" t="s">
        <v>25</v>
      </c>
      <c r="I220" s="5">
        <v>44682</v>
      </c>
      <c r="J220" s="6">
        <v>0</v>
      </c>
      <c r="K220" s="6">
        <v>0</v>
      </c>
      <c r="L220" s="6">
        <v>3.4000000000000002E-2</v>
      </c>
      <c r="M220" s="6">
        <v>2.3800000000000002E-2</v>
      </c>
      <c r="N220" s="6">
        <v>3.4000000000000002E-2</v>
      </c>
      <c r="O220" s="6">
        <v>2.3800000000000002E-2</v>
      </c>
      <c r="P220" s="6">
        <v>0</v>
      </c>
      <c r="Q220" s="4" t="s">
        <v>26</v>
      </c>
      <c r="R220" s="4">
        <v>0</v>
      </c>
      <c r="S220" s="6">
        <v>0</v>
      </c>
      <c r="T220" s="6">
        <v>38</v>
      </c>
      <c r="U220" s="6">
        <v>79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337.82</v>
      </c>
      <c r="X220" s="6">
        <f>IF(ISERROR(VLOOKUP($U$220,'TAR FIN'!$A$1:$O$85,15,0)),0,VLOOKUP($U$220,'TAR FIN'!$A$1:$O$85,15,0))</f>
        <v>167.17</v>
      </c>
      <c r="Y220" s="6"/>
      <c r="Z220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20" s="6">
        <f>('TE BE'!$AB$14+'TE BF'!$AB$14+'TE CVA'!$AB$14)*(1-CUSTOS!$M$36)</f>
        <v>150.08714834282515</v>
      </c>
      <c r="AB220" s="6">
        <f>$K$220*$V$220</f>
        <v>0</v>
      </c>
      <c r="AC220" s="6">
        <f>$M$220*$W$220</f>
        <v>8.0401160000000012</v>
      </c>
      <c r="AD220" s="6">
        <f>$O$220*$X$220</f>
        <v>3.9786459999999999</v>
      </c>
      <c r="AE220" s="6">
        <f>$K$220*$Y$220</f>
        <v>0</v>
      </c>
      <c r="AF220" s="6">
        <f ca="1">$M$220*$Z$220</f>
        <v>8.8456627756683766</v>
      </c>
      <c r="AG220" s="6">
        <f>$O$220*$AA$220</f>
        <v>3.5720741305592387</v>
      </c>
    </row>
    <row r="221" spans="1:33" ht="11.25" customHeight="1" x14ac:dyDescent="0.3">
      <c r="A221" s="4" t="s">
        <v>21</v>
      </c>
      <c r="B221" s="4" t="s">
        <v>22</v>
      </c>
      <c r="C221" s="4" t="s">
        <v>23</v>
      </c>
      <c r="D221" s="4" t="s">
        <v>24</v>
      </c>
      <c r="E221" s="4" t="s">
        <v>31</v>
      </c>
      <c r="F221" s="4" t="s">
        <v>25</v>
      </c>
      <c r="G221" s="4" t="s">
        <v>25</v>
      </c>
      <c r="H221" s="4" t="s">
        <v>25</v>
      </c>
      <c r="I221" s="5">
        <v>44713</v>
      </c>
      <c r="J221" s="6">
        <v>0</v>
      </c>
      <c r="K221" s="6">
        <v>0</v>
      </c>
      <c r="L221" s="6">
        <v>17.007999999999999</v>
      </c>
      <c r="M221" s="6">
        <v>17.007999999999999</v>
      </c>
      <c r="N221" s="6">
        <v>17.007999999999999</v>
      </c>
      <c r="O221" s="6">
        <v>17.007999999999999</v>
      </c>
      <c r="P221" s="6">
        <v>129</v>
      </c>
      <c r="Q221" s="4" t="s">
        <v>26</v>
      </c>
      <c r="R221" s="4">
        <v>0</v>
      </c>
      <c r="S221" s="6">
        <v>0</v>
      </c>
      <c r="T221" s="6">
        <v>38</v>
      </c>
      <c r="U221" s="6">
        <v>79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337.82</v>
      </c>
      <c r="X221" s="6">
        <f>IF(ISERROR(VLOOKUP($U$221,'TAR FIN'!$A$1:$O$85,15,0)),0,VLOOKUP($U$221,'TAR FIN'!$A$1:$O$85,15,0))</f>
        <v>167.17</v>
      </c>
      <c r="Y221" s="6"/>
      <c r="Z221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21" s="6">
        <f>('TE BE'!$AB$14+'TE BF'!$AB$14+'TE CVA'!$AB$14)*(1-CUSTOS!$M$36)</f>
        <v>150.08714834282515</v>
      </c>
      <c r="AB221" s="6">
        <f>$K$221*$V$221</f>
        <v>0</v>
      </c>
      <c r="AC221" s="6">
        <f>$M$221*$W$221</f>
        <v>5745.6425599999993</v>
      </c>
      <c r="AD221" s="6">
        <f>$O$221*$X$221</f>
        <v>2843.2273599999999</v>
      </c>
      <c r="AE221" s="6">
        <f>$K$221*$Y$221</f>
        <v>0</v>
      </c>
      <c r="AF221" s="6">
        <f ca="1">$M$221*$Z$221</f>
        <v>6321.3038860742745</v>
      </c>
      <c r="AG221" s="6">
        <f>$O$221*$AA$221</f>
        <v>2552.68221901477</v>
      </c>
    </row>
    <row r="222" spans="1:33" ht="11.25" customHeight="1" x14ac:dyDescent="0.3">
      <c r="A222" s="4" t="s">
        <v>21</v>
      </c>
      <c r="B222" s="4" t="s">
        <v>22</v>
      </c>
      <c r="C222" s="4" t="s">
        <v>23</v>
      </c>
      <c r="D222" s="4" t="s">
        <v>24</v>
      </c>
      <c r="E222" s="4" t="s">
        <v>31</v>
      </c>
      <c r="F222" s="4" t="s">
        <v>25</v>
      </c>
      <c r="G222" s="4" t="s">
        <v>25</v>
      </c>
      <c r="H222" s="4" t="s">
        <v>25</v>
      </c>
      <c r="I222" s="5">
        <v>44743</v>
      </c>
      <c r="J222" s="6">
        <v>0</v>
      </c>
      <c r="K222" s="6">
        <v>0</v>
      </c>
      <c r="L222" s="6">
        <v>13.869</v>
      </c>
      <c r="M222" s="6">
        <v>13.869</v>
      </c>
      <c r="N222" s="6">
        <v>13.869</v>
      </c>
      <c r="O222" s="6">
        <v>13.869</v>
      </c>
      <c r="P222" s="6">
        <v>138</v>
      </c>
      <c r="Q222" s="4" t="s">
        <v>26</v>
      </c>
      <c r="R222" s="4">
        <v>0</v>
      </c>
      <c r="S222" s="6">
        <v>0</v>
      </c>
      <c r="T222" s="6">
        <v>38</v>
      </c>
      <c r="U222" s="6">
        <v>79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337.82</v>
      </c>
      <c r="X222" s="6">
        <f>IF(ISERROR(VLOOKUP($U$222,'TAR FIN'!$A$1:$O$85,15,0)),0,VLOOKUP($U$222,'TAR FIN'!$A$1:$O$85,15,0))</f>
        <v>167.17</v>
      </c>
      <c r="Y222" s="6"/>
      <c r="Z222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22" s="6">
        <f>('TE BE'!$AB$14+'TE BF'!$AB$14+'TE CVA'!$AB$14)*(1-CUSTOS!$M$36)</f>
        <v>150.08714834282515</v>
      </c>
      <c r="AB222" s="6">
        <f>$K$222*$V$222</f>
        <v>0</v>
      </c>
      <c r="AC222" s="6">
        <f>$M$222*$W$222</f>
        <v>4685.2255800000003</v>
      </c>
      <c r="AD222" s="6">
        <f>$O$222*$X$222</f>
        <v>2318.4807299999998</v>
      </c>
      <c r="AE222" s="6">
        <f>$K$222*$Y$222</f>
        <v>0</v>
      </c>
      <c r="AF222" s="6">
        <f ca="1">$M$222*$Z$222</f>
        <v>5154.642732594315</v>
      </c>
      <c r="AG222" s="6">
        <f>$O$222*$AA$222</f>
        <v>2081.558660366642</v>
      </c>
    </row>
    <row r="223" spans="1:33" ht="11.25" customHeight="1" x14ac:dyDescent="0.3">
      <c r="A223" s="4" t="s">
        <v>21</v>
      </c>
      <c r="B223" s="4" t="s">
        <v>22</v>
      </c>
      <c r="C223" s="4" t="s">
        <v>23</v>
      </c>
      <c r="D223" s="4" t="s">
        <v>24</v>
      </c>
      <c r="E223" s="4" t="s">
        <v>31</v>
      </c>
      <c r="F223" s="4" t="s">
        <v>25</v>
      </c>
      <c r="G223" s="4" t="s">
        <v>25</v>
      </c>
      <c r="H223" s="4" t="s">
        <v>25</v>
      </c>
      <c r="I223" s="5">
        <v>44774</v>
      </c>
      <c r="J223" s="6">
        <v>0</v>
      </c>
      <c r="K223" s="6">
        <v>0</v>
      </c>
      <c r="L223" s="6">
        <v>14.058999999999999</v>
      </c>
      <c r="M223" s="6">
        <v>14.058999999999999</v>
      </c>
      <c r="N223" s="6">
        <v>14.058999999999999</v>
      </c>
      <c r="O223" s="6">
        <v>14.058999999999999</v>
      </c>
      <c r="P223" s="6">
        <v>108</v>
      </c>
      <c r="Q223" s="4" t="s">
        <v>26</v>
      </c>
      <c r="R223" s="4">
        <v>0</v>
      </c>
      <c r="S223" s="6">
        <v>0</v>
      </c>
      <c r="T223" s="6">
        <v>38</v>
      </c>
      <c r="U223" s="6">
        <v>79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337.82</v>
      </c>
      <c r="X223" s="6">
        <f>IF(ISERROR(VLOOKUP($U$223,'TAR FIN'!$A$1:$O$85,15,0)),0,VLOOKUP($U$223,'TAR FIN'!$A$1:$O$85,15,0))</f>
        <v>167.17</v>
      </c>
      <c r="Y223" s="6"/>
      <c r="Z223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223" s="6">
        <f>('TE BE'!$AB$14+'TE BF'!$AB$14+'TE CVA'!$AB$14)*(1-CUSTOS!$M$36)</f>
        <v>150.08714834282515</v>
      </c>
      <c r="AB223" s="6">
        <f>$K$223*$V$223</f>
        <v>0</v>
      </c>
      <c r="AC223" s="6">
        <f>$M$223*$W$223</f>
        <v>4749.4113799999996</v>
      </c>
      <c r="AD223" s="6">
        <f>$O$223*$X$223</f>
        <v>2350.2430299999996</v>
      </c>
      <c r="AE223" s="6">
        <f>$K$223*$Y$223</f>
        <v>0</v>
      </c>
      <c r="AF223" s="6">
        <f ca="1">$M$223*$Z$223</f>
        <v>5225.2593681983899</v>
      </c>
      <c r="AG223" s="6">
        <f>$O$223*$AA$223</f>
        <v>2110.0752185517786</v>
      </c>
    </row>
    <row r="224" spans="1:33" ht="11.25" customHeight="1" x14ac:dyDescent="0.3">
      <c r="A224" s="4" t="s">
        <v>21</v>
      </c>
      <c r="B224" s="4" t="s">
        <v>22</v>
      </c>
      <c r="C224" s="4" t="s">
        <v>23</v>
      </c>
      <c r="D224" s="4" t="s">
        <v>24</v>
      </c>
      <c r="E224" s="4" t="s">
        <v>32</v>
      </c>
      <c r="F224" s="4" t="s">
        <v>25</v>
      </c>
      <c r="G224" s="4" t="s">
        <v>25</v>
      </c>
      <c r="H224" s="4" t="s">
        <v>25</v>
      </c>
      <c r="I224" s="5">
        <v>44440</v>
      </c>
      <c r="J224" s="6">
        <v>0</v>
      </c>
      <c r="K224" s="6">
        <v>0</v>
      </c>
      <c r="L224" s="6">
        <v>2.7719999999999998</v>
      </c>
      <c r="M224" s="6">
        <v>2.7719999999999998</v>
      </c>
      <c r="N224" s="6">
        <v>2.7719999999999998</v>
      </c>
      <c r="O224" s="6">
        <v>2.7719999999999998</v>
      </c>
      <c r="P224" s="6">
        <v>38</v>
      </c>
      <c r="Q224" s="4" t="s">
        <v>26</v>
      </c>
      <c r="R224" s="4">
        <v>0</v>
      </c>
      <c r="S224" s="6">
        <v>0</v>
      </c>
      <c r="T224" s="6">
        <v>40</v>
      </c>
      <c r="U224" s="6">
        <v>80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375.35</v>
      </c>
      <c r="X224" s="6">
        <f>IF(ISERROR(VLOOKUP($U$224,'TAR FIN'!$A$1:$O$85,15,0)),0,VLOOKUP($U$224,'TAR FIN'!$A$1:$O$85,15,0))</f>
        <v>185.74</v>
      </c>
      <c r="Y224" s="6"/>
      <c r="Z224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24" s="6">
        <f>('TE BE'!$AB$15+'TE BF'!$AB$15+'TE CVA'!$AB$15)*(1-CUSTOS!$M$37)</f>
        <v>166.7634981586946</v>
      </c>
      <c r="AB224" s="6">
        <f>$K$224*$V$224</f>
        <v>0</v>
      </c>
      <c r="AC224" s="6">
        <f>$M$224*$W$224</f>
        <v>1040.4702</v>
      </c>
      <c r="AD224" s="6">
        <f>$O$224*$X$224</f>
        <v>514.87127999999996</v>
      </c>
      <c r="AE224" s="6">
        <f>$K$224*$Y$224</f>
        <v>0</v>
      </c>
      <c r="AF224" s="6">
        <f ca="1">$M$224*$Z$224</f>
        <v>1144.732829792378</v>
      </c>
      <c r="AG224" s="6">
        <f>$O$224*$AA$224</f>
        <v>462.2684168959014</v>
      </c>
    </row>
    <row r="225" spans="1:33" ht="11.25" customHeight="1" x14ac:dyDescent="0.3">
      <c r="A225" s="4" t="s">
        <v>21</v>
      </c>
      <c r="B225" s="4" t="s">
        <v>22</v>
      </c>
      <c r="C225" s="4" t="s">
        <v>23</v>
      </c>
      <c r="D225" s="4" t="s">
        <v>24</v>
      </c>
      <c r="E225" s="4" t="s">
        <v>32</v>
      </c>
      <c r="F225" s="4" t="s">
        <v>25</v>
      </c>
      <c r="G225" s="4" t="s">
        <v>25</v>
      </c>
      <c r="H225" s="4" t="s">
        <v>25</v>
      </c>
      <c r="I225" s="5">
        <v>44470</v>
      </c>
      <c r="J225" s="6">
        <v>0</v>
      </c>
      <c r="K225" s="6">
        <v>0</v>
      </c>
      <c r="L225" s="6">
        <v>2.9910000000000001</v>
      </c>
      <c r="M225" s="6">
        <v>2.9910000000000001</v>
      </c>
      <c r="N225" s="6">
        <v>2.9910000000000001</v>
      </c>
      <c r="O225" s="6">
        <v>2.9910000000000001</v>
      </c>
      <c r="P225" s="6">
        <v>40</v>
      </c>
      <c r="Q225" s="4" t="s">
        <v>26</v>
      </c>
      <c r="R225" s="4">
        <v>0</v>
      </c>
      <c r="S225" s="6">
        <v>0</v>
      </c>
      <c r="T225" s="6">
        <v>40</v>
      </c>
      <c r="U225" s="6">
        <v>80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375.35</v>
      </c>
      <c r="X225" s="6">
        <f>IF(ISERROR(VLOOKUP($U$225,'TAR FIN'!$A$1:$O$85,15,0)),0,VLOOKUP($U$225,'TAR FIN'!$A$1:$O$85,15,0))</f>
        <v>185.74</v>
      </c>
      <c r="Y225" s="6"/>
      <c r="Z225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25" s="6">
        <f>('TE BE'!$AB$15+'TE BF'!$AB$15+'TE CVA'!$AB$15)*(1-CUSTOS!$M$37)</f>
        <v>166.7634981586946</v>
      </c>
      <c r="AB225" s="6">
        <f>$K$225*$V$225</f>
        <v>0</v>
      </c>
      <c r="AC225" s="6">
        <f>$M$225*$W$225</f>
        <v>1122.6718500000002</v>
      </c>
      <c r="AD225" s="6">
        <f>$O$225*$X$225</f>
        <v>555.54834000000005</v>
      </c>
      <c r="AE225" s="6">
        <f>$K$225*$Y$225</f>
        <v>0</v>
      </c>
      <c r="AF225" s="6">
        <f ca="1">$M$225*$Z$225</f>
        <v>1235.1716788993517</v>
      </c>
      <c r="AG225" s="6">
        <f>$O$225*$AA$225</f>
        <v>498.78962299265555</v>
      </c>
    </row>
    <row r="226" spans="1:33" ht="11.25" customHeight="1" x14ac:dyDescent="0.3">
      <c r="A226" s="4" t="s">
        <v>21</v>
      </c>
      <c r="B226" s="4" t="s">
        <v>22</v>
      </c>
      <c r="C226" s="4" t="s">
        <v>23</v>
      </c>
      <c r="D226" s="4" t="s">
        <v>24</v>
      </c>
      <c r="E226" s="4" t="s">
        <v>32</v>
      </c>
      <c r="F226" s="4" t="s">
        <v>25</v>
      </c>
      <c r="G226" s="4" t="s">
        <v>25</v>
      </c>
      <c r="H226" s="4" t="s">
        <v>25</v>
      </c>
      <c r="I226" s="5">
        <v>44501</v>
      </c>
      <c r="J226" s="6">
        <v>0</v>
      </c>
      <c r="K226" s="6">
        <v>0</v>
      </c>
      <c r="L226" s="6">
        <v>2.5720000000000001</v>
      </c>
      <c r="M226" s="6">
        <v>2.5720000000000001</v>
      </c>
      <c r="N226" s="6">
        <v>2.5720000000000001</v>
      </c>
      <c r="O226" s="6">
        <v>2.5720000000000001</v>
      </c>
      <c r="P226" s="6">
        <v>36</v>
      </c>
      <c r="Q226" s="4" t="s">
        <v>26</v>
      </c>
      <c r="R226" s="4">
        <v>0</v>
      </c>
      <c r="S226" s="6">
        <v>0</v>
      </c>
      <c r="T226" s="6">
        <v>40</v>
      </c>
      <c r="U226" s="6">
        <v>80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375.35</v>
      </c>
      <c r="X226" s="6">
        <f>IF(ISERROR(VLOOKUP($U$226,'TAR FIN'!$A$1:$O$85,15,0)),0,VLOOKUP($U$226,'TAR FIN'!$A$1:$O$85,15,0))</f>
        <v>185.74</v>
      </c>
      <c r="Y226" s="6"/>
      <c r="Z226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26" s="6">
        <f>('TE BE'!$AB$15+'TE BF'!$AB$15+'TE CVA'!$AB$15)*(1-CUSTOS!$M$37)</f>
        <v>166.7634981586946</v>
      </c>
      <c r="AB226" s="6">
        <f>$K$226*$V$226</f>
        <v>0</v>
      </c>
      <c r="AC226" s="6">
        <f>$M$226*$W$226</f>
        <v>965.40020000000004</v>
      </c>
      <c r="AD226" s="6">
        <f>$O$226*$X$226</f>
        <v>477.72328000000005</v>
      </c>
      <c r="AE226" s="6">
        <f>$K$226*$Y$226</f>
        <v>0</v>
      </c>
      <c r="AF226" s="6">
        <f ca="1">$M$226*$Z$226</f>
        <v>1062.1402735303018</v>
      </c>
      <c r="AG226" s="6">
        <f>$O$226*$AA$226</f>
        <v>428.91571726416254</v>
      </c>
    </row>
    <row r="227" spans="1:33" ht="11.25" customHeight="1" x14ac:dyDescent="0.3">
      <c r="A227" s="4" t="s">
        <v>27</v>
      </c>
      <c r="B227" s="4" t="s">
        <v>22</v>
      </c>
      <c r="C227" s="4" t="s">
        <v>23</v>
      </c>
      <c r="D227" s="4" t="s">
        <v>24</v>
      </c>
      <c r="E227" s="4" t="s">
        <v>32</v>
      </c>
      <c r="F227" s="4" t="s">
        <v>25</v>
      </c>
      <c r="G227" s="4" t="s">
        <v>25</v>
      </c>
      <c r="H227" s="4" t="s">
        <v>25</v>
      </c>
      <c r="I227" s="5">
        <v>44501</v>
      </c>
      <c r="J227" s="6">
        <v>0</v>
      </c>
      <c r="K227" s="6">
        <v>0</v>
      </c>
      <c r="L227" s="6">
        <v>0.01</v>
      </c>
      <c r="M227" s="6">
        <v>0.01</v>
      </c>
      <c r="N227" s="6">
        <v>0.01</v>
      </c>
      <c r="O227" s="6">
        <v>0.01</v>
      </c>
      <c r="P227" s="6">
        <v>0</v>
      </c>
      <c r="Q227" s="4" t="s">
        <v>26</v>
      </c>
      <c r="R227" s="4">
        <v>0</v>
      </c>
      <c r="S227" s="6">
        <v>0</v>
      </c>
      <c r="T227" s="6">
        <v>40</v>
      </c>
      <c r="U227" s="6">
        <v>80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375.35</v>
      </c>
      <c r="X227" s="6">
        <f>IF(ISERROR(VLOOKUP($U$227,'TAR FIN'!$A$1:$O$85,15,0)),0,VLOOKUP($U$227,'TAR FIN'!$A$1:$O$85,15,0))</f>
        <v>185.74</v>
      </c>
      <c r="Y227" s="6"/>
      <c r="Z227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27" s="6">
        <f>('TE BE'!$AB$15+'TE BF'!$AB$15+'TE CVA'!$AB$15)*(1-CUSTOS!$M$37)</f>
        <v>166.7634981586946</v>
      </c>
      <c r="AB227" s="6">
        <f>$K$227*$V$227</f>
        <v>0</v>
      </c>
      <c r="AC227" s="6">
        <f>$M$227*$W$227</f>
        <v>3.7535000000000003</v>
      </c>
      <c r="AD227" s="6">
        <f>$O$227*$X$227</f>
        <v>1.8574000000000002</v>
      </c>
      <c r="AE227" s="6">
        <f>$K$227*$Y$227</f>
        <v>0</v>
      </c>
      <c r="AF227" s="6">
        <f ca="1">$M$227*$Z$227</f>
        <v>4.1296278131038164</v>
      </c>
      <c r="AG227" s="6">
        <f>$O$227*$AA$227</f>
        <v>1.667634981586946</v>
      </c>
    </row>
    <row r="228" spans="1:33" ht="11.25" customHeight="1" x14ac:dyDescent="0.3">
      <c r="A228" s="4" t="s">
        <v>21</v>
      </c>
      <c r="B228" s="4" t="s">
        <v>22</v>
      </c>
      <c r="C228" s="4" t="s">
        <v>23</v>
      </c>
      <c r="D228" s="4" t="s">
        <v>24</v>
      </c>
      <c r="E228" s="4" t="s">
        <v>32</v>
      </c>
      <c r="F228" s="4" t="s">
        <v>25</v>
      </c>
      <c r="G228" s="4" t="s">
        <v>25</v>
      </c>
      <c r="H228" s="4" t="s">
        <v>25</v>
      </c>
      <c r="I228" s="5">
        <v>44531</v>
      </c>
      <c r="J228" s="6">
        <v>0</v>
      </c>
      <c r="K228" s="6">
        <v>0</v>
      </c>
      <c r="L228" s="6">
        <v>2.5059999999999998</v>
      </c>
      <c r="M228" s="6">
        <v>2.5059999999999998</v>
      </c>
      <c r="N228" s="6">
        <v>2.5059999999999998</v>
      </c>
      <c r="O228" s="6">
        <v>2.5059999999999998</v>
      </c>
      <c r="P228" s="6">
        <v>43</v>
      </c>
      <c r="Q228" s="4" t="s">
        <v>26</v>
      </c>
      <c r="R228" s="4">
        <v>0</v>
      </c>
      <c r="S228" s="6">
        <v>0</v>
      </c>
      <c r="T228" s="6">
        <v>40</v>
      </c>
      <c r="U228" s="6">
        <v>80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375.35</v>
      </c>
      <c r="X228" s="6">
        <f>IF(ISERROR(VLOOKUP($U$228,'TAR FIN'!$A$1:$O$85,15,0)),0,VLOOKUP($U$228,'TAR FIN'!$A$1:$O$85,15,0))</f>
        <v>185.74</v>
      </c>
      <c r="Y228" s="6"/>
      <c r="Z228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28" s="6">
        <f>('TE BE'!$AB$15+'TE BF'!$AB$15+'TE CVA'!$AB$15)*(1-CUSTOS!$M$37)</f>
        <v>166.7634981586946</v>
      </c>
      <c r="AB228" s="6">
        <f>$K$228*$V$228</f>
        <v>0</v>
      </c>
      <c r="AC228" s="6">
        <f>$M$228*$W$228</f>
        <v>940.62709999999993</v>
      </c>
      <c r="AD228" s="6">
        <f>$O$228*$X$228</f>
        <v>465.46443999999997</v>
      </c>
      <c r="AE228" s="6">
        <f>$K$228*$Y$228</f>
        <v>0</v>
      </c>
      <c r="AF228" s="6">
        <f ca="1">$M$228*$Z$228</f>
        <v>1034.8847299638164</v>
      </c>
      <c r="AG228" s="6">
        <f>$O$228*$AA$228</f>
        <v>417.90932638568864</v>
      </c>
    </row>
    <row r="229" spans="1:33" ht="11.25" customHeight="1" x14ac:dyDescent="0.3">
      <c r="A229" s="4" t="s">
        <v>21</v>
      </c>
      <c r="B229" s="4" t="s">
        <v>22</v>
      </c>
      <c r="C229" s="4" t="s">
        <v>23</v>
      </c>
      <c r="D229" s="4" t="s">
        <v>24</v>
      </c>
      <c r="E229" s="4" t="s">
        <v>32</v>
      </c>
      <c r="F229" s="4" t="s">
        <v>25</v>
      </c>
      <c r="G229" s="4" t="s">
        <v>25</v>
      </c>
      <c r="H229" s="4" t="s">
        <v>25</v>
      </c>
      <c r="I229" s="5">
        <v>44562</v>
      </c>
      <c r="J229" s="6">
        <v>0</v>
      </c>
      <c r="K229" s="6">
        <v>0</v>
      </c>
      <c r="L229" s="6">
        <v>5.2519999999999998</v>
      </c>
      <c r="M229" s="6">
        <v>5.2519999999999998</v>
      </c>
      <c r="N229" s="6">
        <v>5.2519999999999998</v>
      </c>
      <c r="O229" s="6">
        <v>5.2519999999999998</v>
      </c>
      <c r="P229" s="6">
        <v>67</v>
      </c>
      <c r="Q229" s="4" t="s">
        <v>26</v>
      </c>
      <c r="R229" s="4">
        <v>0</v>
      </c>
      <c r="S229" s="6">
        <v>0</v>
      </c>
      <c r="T229" s="6">
        <v>40</v>
      </c>
      <c r="U229" s="6">
        <v>80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375.35</v>
      </c>
      <c r="X229" s="6">
        <f>IF(ISERROR(VLOOKUP($U$229,'TAR FIN'!$A$1:$O$85,15,0)),0,VLOOKUP($U$229,'TAR FIN'!$A$1:$O$85,15,0))</f>
        <v>185.74</v>
      </c>
      <c r="Y229" s="6"/>
      <c r="Z229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29" s="6">
        <f>('TE BE'!$AB$15+'TE BF'!$AB$15+'TE CVA'!$AB$15)*(1-CUSTOS!$M$37)</f>
        <v>166.7634981586946</v>
      </c>
      <c r="AB229" s="6">
        <f>$K$229*$V$229</f>
        <v>0</v>
      </c>
      <c r="AC229" s="6">
        <f>$M$229*$W$229</f>
        <v>1971.3382000000001</v>
      </c>
      <c r="AD229" s="6">
        <f>$O$229*$X$229</f>
        <v>975.50648000000001</v>
      </c>
      <c r="AE229" s="6">
        <f>$K$229*$Y$229</f>
        <v>0</v>
      </c>
      <c r="AF229" s="6">
        <f ca="1">$M$229*$Z$229</f>
        <v>2168.8805274421243</v>
      </c>
      <c r="AG229" s="6">
        <f>$O$229*$AA$229</f>
        <v>875.84189232946403</v>
      </c>
    </row>
    <row r="230" spans="1:33" ht="11.25" customHeight="1" x14ac:dyDescent="0.3">
      <c r="A230" s="4" t="s">
        <v>21</v>
      </c>
      <c r="B230" s="4" t="s">
        <v>22</v>
      </c>
      <c r="C230" s="4" t="s">
        <v>23</v>
      </c>
      <c r="D230" s="4" t="s">
        <v>24</v>
      </c>
      <c r="E230" s="4" t="s">
        <v>32</v>
      </c>
      <c r="F230" s="4" t="s">
        <v>25</v>
      </c>
      <c r="G230" s="4" t="s">
        <v>25</v>
      </c>
      <c r="H230" s="4" t="s">
        <v>25</v>
      </c>
      <c r="I230" s="5">
        <v>44593</v>
      </c>
      <c r="J230" s="6">
        <v>0</v>
      </c>
      <c r="K230" s="6">
        <v>0</v>
      </c>
      <c r="L230" s="6">
        <v>7.7409999999999997</v>
      </c>
      <c r="M230" s="6">
        <v>7.7409999999999997</v>
      </c>
      <c r="N230" s="6">
        <v>7.7409999999999997</v>
      </c>
      <c r="O230" s="6">
        <v>7.7409999999999997</v>
      </c>
      <c r="P230" s="6">
        <v>84</v>
      </c>
      <c r="Q230" s="4" t="s">
        <v>26</v>
      </c>
      <c r="R230" s="4">
        <v>0</v>
      </c>
      <c r="S230" s="6">
        <v>0</v>
      </c>
      <c r="T230" s="6">
        <v>40</v>
      </c>
      <c r="U230" s="6">
        <v>80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375.35</v>
      </c>
      <c r="X230" s="6">
        <f>IF(ISERROR(VLOOKUP($U$230,'TAR FIN'!$A$1:$O$85,15,0)),0,VLOOKUP($U$230,'TAR FIN'!$A$1:$O$85,15,0))</f>
        <v>185.74</v>
      </c>
      <c r="Y230" s="6"/>
      <c r="Z230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30" s="6">
        <f>('TE BE'!$AB$15+'TE BF'!$AB$15+'TE CVA'!$AB$15)*(1-CUSTOS!$M$37)</f>
        <v>166.7634981586946</v>
      </c>
      <c r="AB230" s="6">
        <f>$K$230*$V$230</f>
        <v>0</v>
      </c>
      <c r="AC230" s="6">
        <f>$M$230*$W$230</f>
        <v>2905.5843500000001</v>
      </c>
      <c r="AD230" s="6">
        <f>$O$230*$X$230</f>
        <v>1437.8133399999999</v>
      </c>
      <c r="AE230" s="6">
        <f>$K$230*$Y$230</f>
        <v>0</v>
      </c>
      <c r="AF230" s="6">
        <f ca="1">$M$230*$Z$230</f>
        <v>3196.7448901236644</v>
      </c>
      <c r="AG230" s="6">
        <f>$O$230*$AA$230</f>
        <v>1290.9162392464548</v>
      </c>
    </row>
    <row r="231" spans="1:33" ht="11.25" customHeight="1" x14ac:dyDescent="0.3">
      <c r="A231" s="4" t="s">
        <v>21</v>
      </c>
      <c r="B231" s="4" t="s">
        <v>22</v>
      </c>
      <c r="C231" s="4" t="s">
        <v>23</v>
      </c>
      <c r="D231" s="4" t="s">
        <v>24</v>
      </c>
      <c r="E231" s="4" t="s">
        <v>32</v>
      </c>
      <c r="F231" s="4" t="s">
        <v>25</v>
      </c>
      <c r="G231" s="4" t="s">
        <v>25</v>
      </c>
      <c r="H231" s="4" t="s">
        <v>25</v>
      </c>
      <c r="I231" s="5">
        <v>44621</v>
      </c>
      <c r="J231" s="6">
        <v>0</v>
      </c>
      <c r="K231" s="6">
        <v>0</v>
      </c>
      <c r="L231" s="6">
        <v>8.2520000000000007</v>
      </c>
      <c r="M231" s="6">
        <v>8.2520000000000007</v>
      </c>
      <c r="N231" s="6">
        <v>8.2520000000000007</v>
      </c>
      <c r="O231" s="6">
        <v>8.2520000000000007</v>
      </c>
      <c r="P231" s="6">
        <v>83</v>
      </c>
      <c r="Q231" s="4" t="s">
        <v>26</v>
      </c>
      <c r="R231" s="4">
        <v>0</v>
      </c>
      <c r="S231" s="6">
        <v>0</v>
      </c>
      <c r="T231" s="6">
        <v>40</v>
      </c>
      <c r="U231" s="6">
        <v>80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375.35</v>
      </c>
      <c r="X231" s="6">
        <f>IF(ISERROR(VLOOKUP($U$231,'TAR FIN'!$A$1:$O$85,15,0)),0,VLOOKUP($U$231,'TAR FIN'!$A$1:$O$85,15,0))</f>
        <v>185.74</v>
      </c>
      <c r="Y231" s="6"/>
      <c r="Z231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31" s="6">
        <f>('TE BE'!$AB$15+'TE BF'!$AB$15+'TE CVA'!$AB$15)*(1-CUSTOS!$M$37)</f>
        <v>166.7634981586946</v>
      </c>
      <c r="AB231" s="6">
        <f>$K$231*$V$231</f>
        <v>0</v>
      </c>
      <c r="AC231" s="6">
        <f>$M$231*$W$231</f>
        <v>3097.3882000000003</v>
      </c>
      <c r="AD231" s="6">
        <f>$O$231*$X$231</f>
        <v>1532.7264800000003</v>
      </c>
      <c r="AE231" s="6">
        <f>$K$231*$Y$231</f>
        <v>0</v>
      </c>
      <c r="AF231" s="6">
        <f ca="1">$M$231*$Z$231</f>
        <v>3407.76887137327</v>
      </c>
      <c r="AG231" s="6">
        <f>$O$231*$AA$231</f>
        <v>1376.1323868055479</v>
      </c>
    </row>
    <row r="232" spans="1:33" ht="11.25" customHeight="1" x14ac:dyDescent="0.3">
      <c r="A232" s="4" t="s">
        <v>21</v>
      </c>
      <c r="B232" s="4" t="s">
        <v>22</v>
      </c>
      <c r="C232" s="4" t="s">
        <v>23</v>
      </c>
      <c r="D232" s="4" t="s">
        <v>24</v>
      </c>
      <c r="E232" s="4" t="s">
        <v>32</v>
      </c>
      <c r="F232" s="4" t="s">
        <v>25</v>
      </c>
      <c r="G232" s="4" t="s">
        <v>25</v>
      </c>
      <c r="H232" s="4" t="s">
        <v>25</v>
      </c>
      <c r="I232" s="5">
        <v>44652</v>
      </c>
      <c r="J232" s="6">
        <v>0</v>
      </c>
      <c r="K232" s="6">
        <v>0</v>
      </c>
      <c r="L232" s="6">
        <v>11.680999999999999</v>
      </c>
      <c r="M232" s="6">
        <v>11.680999999999999</v>
      </c>
      <c r="N232" s="6">
        <v>11.680999999999999</v>
      </c>
      <c r="O232" s="6">
        <v>11.680999999999999</v>
      </c>
      <c r="P232" s="6">
        <v>122</v>
      </c>
      <c r="Q232" s="4" t="s">
        <v>26</v>
      </c>
      <c r="R232" s="4">
        <v>0</v>
      </c>
      <c r="S232" s="6">
        <v>0</v>
      </c>
      <c r="T232" s="6">
        <v>40</v>
      </c>
      <c r="U232" s="6">
        <v>80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375.35</v>
      </c>
      <c r="X232" s="6">
        <f>IF(ISERROR(VLOOKUP($U$232,'TAR FIN'!$A$1:$O$85,15,0)),0,VLOOKUP($U$232,'TAR FIN'!$A$1:$O$85,15,0))</f>
        <v>185.74</v>
      </c>
      <c r="Y232" s="6"/>
      <c r="Z232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32" s="6">
        <f>('TE BE'!$AB$15+'TE BF'!$AB$15+'TE CVA'!$AB$15)*(1-CUSTOS!$M$37)</f>
        <v>166.7634981586946</v>
      </c>
      <c r="AB232" s="6">
        <f>$K$232*$V$232</f>
        <v>0</v>
      </c>
      <c r="AC232" s="6">
        <f>$M$232*$W$232</f>
        <v>4384.46335</v>
      </c>
      <c r="AD232" s="6">
        <f>$O$232*$X$232</f>
        <v>2169.6289400000001</v>
      </c>
      <c r="AE232" s="6">
        <f>$K$232*$Y$232</f>
        <v>0</v>
      </c>
      <c r="AF232" s="6">
        <f ca="1">$M$232*$Z$232</f>
        <v>4823.8182484865683</v>
      </c>
      <c r="AG232" s="6">
        <f>$O$232*$AA$232</f>
        <v>1947.9644219917116</v>
      </c>
    </row>
    <row r="233" spans="1:33" ht="11.25" customHeight="1" x14ac:dyDescent="0.3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32</v>
      </c>
      <c r="F233" s="4" t="s">
        <v>25</v>
      </c>
      <c r="G233" s="4" t="s">
        <v>25</v>
      </c>
      <c r="H233" s="4" t="s">
        <v>25</v>
      </c>
      <c r="I233" s="5">
        <v>44682</v>
      </c>
      <c r="J233" s="6">
        <v>0</v>
      </c>
      <c r="K233" s="6">
        <v>0</v>
      </c>
      <c r="L233" s="6">
        <v>7.53</v>
      </c>
      <c r="M233" s="6">
        <v>7.53</v>
      </c>
      <c r="N233" s="6">
        <v>7.53</v>
      </c>
      <c r="O233" s="6">
        <v>7.53</v>
      </c>
      <c r="P233" s="6">
        <v>72</v>
      </c>
      <c r="Q233" s="4" t="s">
        <v>26</v>
      </c>
      <c r="R233" s="4">
        <v>0</v>
      </c>
      <c r="S233" s="6">
        <v>0</v>
      </c>
      <c r="T233" s="6">
        <v>40</v>
      </c>
      <c r="U233" s="6">
        <v>80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375.35</v>
      </c>
      <c r="X233" s="6">
        <f>IF(ISERROR(VLOOKUP($U$233,'TAR FIN'!$A$1:$O$85,15,0)),0,VLOOKUP($U$233,'TAR FIN'!$A$1:$O$85,15,0))</f>
        <v>185.74</v>
      </c>
      <c r="Y233" s="6"/>
      <c r="Z233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33" s="6">
        <f>('TE BE'!$AB$15+'TE BF'!$AB$15+'TE CVA'!$AB$15)*(1-CUSTOS!$M$37)</f>
        <v>166.7634981586946</v>
      </c>
      <c r="AB233" s="6">
        <f>$K$233*$V$233</f>
        <v>0</v>
      </c>
      <c r="AC233" s="6">
        <f>$M$233*$W$233</f>
        <v>2826.3855000000003</v>
      </c>
      <c r="AD233" s="6">
        <f>$O$233*$X$233</f>
        <v>1398.6222</v>
      </c>
      <c r="AE233" s="6">
        <f>$K$233*$Y$233</f>
        <v>0</v>
      </c>
      <c r="AF233" s="6">
        <f ca="1">$M$233*$Z$233</f>
        <v>3109.6097432671741</v>
      </c>
      <c r="AG233" s="6">
        <f>$O$233*$AA$233</f>
        <v>1255.7291411349704</v>
      </c>
    </row>
    <row r="234" spans="1:33" ht="11.25" customHeight="1" x14ac:dyDescent="0.3">
      <c r="A234" s="4" t="s">
        <v>21</v>
      </c>
      <c r="B234" s="4" t="s">
        <v>22</v>
      </c>
      <c r="C234" s="4" t="s">
        <v>23</v>
      </c>
      <c r="D234" s="4" t="s">
        <v>24</v>
      </c>
      <c r="E234" s="4" t="s">
        <v>32</v>
      </c>
      <c r="F234" s="4" t="s">
        <v>25</v>
      </c>
      <c r="G234" s="4" t="s">
        <v>25</v>
      </c>
      <c r="H234" s="4" t="s">
        <v>25</v>
      </c>
      <c r="I234" s="5">
        <v>44713</v>
      </c>
      <c r="J234" s="6">
        <v>0</v>
      </c>
      <c r="K234" s="6">
        <v>0</v>
      </c>
      <c r="L234" s="6">
        <v>8.8190000000000008</v>
      </c>
      <c r="M234" s="6">
        <v>8.8190000000000008</v>
      </c>
      <c r="N234" s="6">
        <v>8.8190000000000008</v>
      </c>
      <c r="O234" s="6">
        <v>8.8190000000000008</v>
      </c>
      <c r="P234" s="6">
        <v>77</v>
      </c>
      <c r="Q234" s="4" t="s">
        <v>26</v>
      </c>
      <c r="R234" s="4">
        <v>0</v>
      </c>
      <c r="S234" s="6">
        <v>0</v>
      </c>
      <c r="T234" s="6">
        <v>40</v>
      </c>
      <c r="U234" s="6">
        <v>80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375.35</v>
      </c>
      <c r="X234" s="6">
        <f>IF(ISERROR(VLOOKUP($U$234,'TAR FIN'!$A$1:$O$85,15,0)),0,VLOOKUP($U$234,'TAR FIN'!$A$1:$O$85,15,0))</f>
        <v>185.74</v>
      </c>
      <c r="Y234" s="6"/>
      <c r="Z234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34" s="6">
        <f>('TE BE'!$AB$15+'TE BF'!$AB$15+'TE CVA'!$AB$15)*(1-CUSTOS!$M$37)</f>
        <v>166.7634981586946</v>
      </c>
      <c r="AB234" s="6">
        <f>$K$234*$V$234</f>
        <v>0</v>
      </c>
      <c r="AC234" s="6">
        <f>$M$234*$W$234</f>
        <v>3310.2116500000006</v>
      </c>
      <c r="AD234" s="6">
        <f>$O$234*$X$234</f>
        <v>1638.0410600000002</v>
      </c>
      <c r="AE234" s="6">
        <f>$K$234*$Y$234</f>
        <v>0</v>
      </c>
      <c r="AF234" s="6">
        <f ca="1">$M$234*$Z$234</f>
        <v>3641.9187683762561</v>
      </c>
      <c r="AG234" s="6">
        <f>$O$234*$AA$234</f>
        <v>1470.6872902615278</v>
      </c>
    </row>
    <row r="235" spans="1:33" ht="11.25" customHeight="1" x14ac:dyDescent="0.3">
      <c r="A235" s="4" t="s">
        <v>21</v>
      </c>
      <c r="B235" s="4" t="s">
        <v>22</v>
      </c>
      <c r="C235" s="4" t="s">
        <v>23</v>
      </c>
      <c r="D235" s="4" t="s">
        <v>24</v>
      </c>
      <c r="E235" s="4" t="s">
        <v>32</v>
      </c>
      <c r="F235" s="4" t="s">
        <v>25</v>
      </c>
      <c r="G235" s="4" t="s">
        <v>25</v>
      </c>
      <c r="H235" s="4" t="s">
        <v>25</v>
      </c>
      <c r="I235" s="5">
        <v>44743</v>
      </c>
      <c r="J235" s="6">
        <v>0</v>
      </c>
      <c r="K235" s="6">
        <v>0</v>
      </c>
      <c r="L235" s="6">
        <v>5.0469999999999997</v>
      </c>
      <c r="M235" s="6">
        <v>5.0469999999999997</v>
      </c>
      <c r="N235" s="6">
        <v>5.0469999999999997</v>
      </c>
      <c r="O235" s="6">
        <v>5.0469999999999997</v>
      </c>
      <c r="P235" s="6">
        <v>53</v>
      </c>
      <c r="Q235" s="4" t="s">
        <v>26</v>
      </c>
      <c r="R235" s="4">
        <v>0</v>
      </c>
      <c r="S235" s="6">
        <v>0</v>
      </c>
      <c r="T235" s="6">
        <v>40</v>
      </c>
      <c r="U235" s="6">
        <v>80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375.35</v>
      </c>
      <c r="X235" s="6">
        <f>IF(ISERROR(VLOOKUP($U$235,'TAR FIN'!$A$1:$O$85,15,0)),0,VLOOKUP($U$235,'TAR FIN'!$A$1:$O$85,15,0))</f>
        <v>185.74</v>
      </c>
      <c r="Y235" s="6"/>
      <c r="Z235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35" s="6">
        <f>('TE BE'!$AB$15+'TE BF'!$AB$15+'TE CVA'!$AB$15)*(1-CUSTOS!$M$37)</f>
        <v>166.7634981586946</v>
      </c>
      <c r="AB235" s="6">
        <f>$K$235*$V$235</f>
        <v>0</v>
      </c>
      <c r="AC235" s="6">
        <f>$M$235*$W$235</f>
        <v>1894.3914500000001</v>
      </c>
      <c r="AD235" s="6">
        <f>$O$235*$X$235</f>
        <v>937.42977999999994</v>
      </c>
      <c r="AE235" s="6">
        <f>$K$235*$Y$235</f>
        <v>0</v>
      </c>
      <c r="AF235" s="6">
        <f ca="1">$M$235*$Z$235</f>
        <v>2084.2231572734963</v>
      </c>
      <c r="AG235" s="6">
        <f>$O$235*$AA$235</f>
        <v>841.65537520693158</v>
      </c>
    </row>
    <row r="236" spans="1:33" ht="11.25" customHeight="1" x14ac:dyDescent="0.3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32</v>
      </c>
      <c r="F236" s="4" t="s">
        <v>25</v>
      </c>
      <c r="G236" s="4" t="s">
        <v>25</v>
      </c>
      <c r="H236" s="4" t="s">
        <v>25</v>
      </c>
      <c r="I236" s="5">
        <v>44774</v>
      </c>
      <c r="J236" s="6">
        <v>0</v>
      </c>
      <c r="K236" s="6">
        <v>0</v>
      </c>
      <c r="L236" s="6">
        <v>6.5069999999999997</v>
      </c>
      <c r="M236" s="6">
        <v>6.5069999999999997</v>
      </c>
      <c r="N236" s="6">
        <v>6.5069999999999997</v>
      </c>
      <c r="O236" s="6">
        <v>6.5069999999999997</v>
      </c>
      <c r="P236" s="6">
        <v>65</v>
      </c>
      <c r="Q236" s="4" t="s">
        <v>26</v>
      </c>
      <c r="R236" s="4">
        <v>0</v>
      </c>
      <c r="S236" s="6">
        <v>0</v>
      </c>
      <c r="T236" s="6">
        <v>40</v>
      </c>
      <c r="U236" s="6">
        <v>80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375.35</v>
      </c>
      <c r="X236" s="6">
        <f>IF(ISERROR(VLOOKUP($U$236,'TAR FIN'!$A$1:$O$85,15,0)),0,VLOOKUP($U$236,'TAR FIN'!$A$1:$O$85,15,0))</f>
        <v>185.74</v>
      </c>
      <c r="Y236" s="6"/>
      <c r="Z236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236" s="6">
        <f>('TE BE'!$AB$15+'TE BF'!$AB$15+'TE CVA'!$AB$15)*(1-CUSTOS!$M$37)</f>
        <v>166.7634981586946</v>
      </c>
      <c r="AB236" s="6">
        <f>$K$236*$V$236</f>
        <v>0</v>
      </c>
      <c r="AC236" s="6">
        <f>$M$236*$W$236</f>
        <v>2442.40245</v>
      </c>
      <c r="AD236" s="6">
        <f>$O$236*$X$236</f>
        <v>1208.6101799999999</v>
      </c>
      <c r="AE236" s="6">
        <f>$K$236*$Y$236</f>
        <v>0</v>
      </c>
      <c r="AF236" s="6">
        <f ca="1">$M$236*$Z$236</f>
        <v>2687.1488179866533</v>
      </c>
      <c r="AG236" s="6">
        <f>$O$236*$AA$236</f>
        <v>1085.1300825186256</v>
      </c>
    </row>
    <row r="237" spans="1:33" ht="11.25" customHeight="1" x14ac:dyDescent="0.3">
      <c r="A237" s="4" t="s">
        <v>21</v>
      </c>
      <c r="B237" s="4" t="s">
        <v>43</v>
      </c>
      <c r="C237" s="4" t="s">
        <v>23</v>
      </c>
      <c r="D237" s="4" t="s">
        <v>44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44440</v>
      </c>
      <c r="J237" s="6">
        <v>0</v>
      </c>
      <c r="K237" s="6">
        <v>0</v>
      </c>
      <c r="L237" s="6">
        <v>1415.9390000000001</v>
      </c>
      <c r="M237" s="6">
        <v>1415.9390000000001</v>
      </c>
      <c r="N237" s="6">
        <v>1415.9390000000001</v>
      </c>
      <c r="O237" s="6">
        <v>1415.9390000000001</v>
      </c>
      <c r="P237" s="6">
        <v>5752</v>
      </c>
      <c r="Q237" s="4" t="s">
        <v>26</v>
      </c>
      <c r="R237" s="4">
        <v>0</v>
      </c>
      <c r="S237" s="6">
        <v>0</v>
      </c>
      <c r="T237" s="6">
        <v>52</v>
      </c>
      <c r="U237" s="6">
        <v>9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389.81</v>
      </c>
      <c r="X237" s="6">
        <f>IF(ISERROR(VLOOKUP($U$237,'TAR FIN'!$A$1:$O$85,15,0)),0,VLOOKUP($U$237,'TAR FIN'!$A$1:$O$85,15,0))</f>
        <v>163.44999999999999</v>
      </c>
      <c r="Y237" s="6"/>
      <c r="Z237" s="6">
        <f ca="1">('TUSD BE'!$AM$33+'TUSD BF'!$AM$33+'TUSD CVA'!$AM$33)*(1-CUSTOS!$M$38)</f>
        <v>488.10481154466686</v>
      </c>
      <c r="AA237" s="6">
        <f>('TE BE'!$AB$24+'TE BF'!$AB$24+'TE CVA'!$AB$24)*(1-CUSTOS!$M$38)</f>
        <v>156.75768826917292</v>
      </c>
      <c r="AB237" s="6">
        <f>$K$237*$V$237</f>
        <v>0</v>
      </c>
      <c r="AC237" s="6">
        <f>$M$237*$W$237</f>
        <v>551947.18159000005</v>
      </c>
      <c r="AD237" s="6">
        <f>$O$237*$X$237</f>
        <v>231435.22954999999</v>
      </c>
      <c r="AE237" s="6">
        <f>$K$237*$Y$237</f>
        <v>0</v>
      </c>
      <c r="AF237" s="6">
        <f ca="1">$M$237*$Z$237</f>
        <v>691126.63875374408</v>
      </c>
      <c r="AG237" s="6">
        <f>$O$237*$AA$237</f>
        <v>221959.32437016445</v>
      </c>
    </row>
    <row r="238" spans="1:33" ht="11.25" customHeight="1" x14ac:dyDescent="0.3">
      <c r="A238" s="4" t="s">
        <v>27</v>
      </c>
      <c r="B238" s="4" t="s">
        <v>43</v>
      </c>
      <c r="C238" s="4" t="s">
        <v>23</v>
      </c>
      <c r="D238" s="4" t="s">
        <v>44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44440</v>
      </c>
      <c r="J238" s="6">
        <v>0</v>
      </c>
      <c r="K238" s="6">
        <v>0</v>
      </c>
      <c r="L238" s="6">
        <v>0.70099999999999996</v>
      </c>
      <c r="M238" s="6">
        <v>0.70099999999999996</v>
      </c>
      <c r="N238" s="6">
        <v>0.70099999999999996</v>
      </c>
      <c r="O238" s="6">
        <v>0.70099999999999996</v>
      </c>
      <c r="P238" s="6">
        <v>0</v>
      </c>
      <c r="Q238" s="4" t="s">
        <v>26</v>
      </c>
      <c r="R238" s="4">
        <v>0</v>
      </c>
      <c r="S238" s="6">
        <v>0</v>
      </c>
      <c r="T238" s="6">
        <v>52</v>
      </c>
      <c r="U238" s="6">
        <v>9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389.81</v>
      </c>
      <c r="X238" s="6">
        <f>IF(ISERROR(VLOOKUP($U$238,'TAR FIN'!$A$1:$O$85,15,0)),0,VLOOKUP($U$238,'TAR FIN'!$A$1:$O$85,15,0))</f>
        <v>163.44999999999999</v>
      </c>
      <c r="Y238" s="6"/>
      <c r="Z238" s="6">
        <f ca="1">('TUSD BE'!$AM$33+'TUSD BF'!$AM$33+'TUSD CVA'!$AM$33)*(1-CUSTOS!$M$38)</f>
        <v>488.10481154466686</v>
      </c>
      <c r="AA238" s="6">
        <f>('TE BE'!$AB$24+'TE BF'!$AB$24+'TE CVA'!$AB$24)*(1-CUSTOS!$M$38)</f>
        <v>156.75768826917292</v>
      </c>
      <c r="AB238" s="6">
        <f>$K$238*$V$238</f>
        <v>0</v>
      </c>
      <c r="AC238" s="6">
        <f>$M$238*$W$238</f>
        <v>273.25680999999997</v>
      </c>
      <c r="AD238" s="6">
        <f>$O$238*$X$238</f>
        <v>114.57844999999999</v>
      </c>
      <c r="AE238" s="6">
        <f>$K$238*$Y$238</f>
        <v>0</v>
      </c>
      <c r="AF238" s="6">
        <f ca="1">$M$238*$Z$238</f>
        <v>342.16147289281145</v>
      </c>
      <c r="AG238" s="6">
        <f>$O$238*$AA$238</f>
        <v>109.88713947669021</v>
      </c>
    </row>
    <row r="239" spans="1:33" ht="11.25" customHeight="1" x14ac:dyDescent="0.3">
      <c r="A239" s="4" t="s">
        <v>28</v>
      </c>
      <c r="B239" s="4" t="s">
        <v>43</v>
      </c>
      <c r="C239" s="4" t="s">
        <v>23</v>
      </c>
      <c r="D239" s="4" t="s">
        <v>44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44440</v>
      </c>
      <c r="J239" s="6">
        <v>0</v>
      </c>
      <c r="K239" s="6">
        <v>0</v>
      </c>
      <c r="L239" s="6">
        <v>16.902999999999999</v>
      </c>
      <c r="M239" s="6">
        <v>16.902999999999999</v>
      </c>
      <c r="N239" s="6">
        <v>16.902999999999999</v>
      </c>
      <c r="O239" s="6">
        <v>16.902999999999999</v>
      </c>
      <c r="P239" s="6">
        <v>85</v>
      </c>
      <c r="Q239" s="4" t="s">
        <v>26</v>
      </c>
      <c r="R239" s="4">
        <v>0</v>
      </c>
      <c r="S239" s="6">
        <v>0</v>
      </c>
      <c r="T239" s="6">
        <v>52</v>
      </c>
      <c r="U239" s="6">
        <v>9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389.81</v>
      </c>
      <c r="X239" s="6">
        <f>IF(ISERROR(VLOOKUP($U$239,'TAR FIN'!$A$1:$O$85,15,0)),0,VLOOKUP($U$239,'TAR FIN'!$A$1:$O$85,15,0))</f>
        <v>163.44999999999999</v>
      </c>
      <c r="Y239" s="6"/>
      <c r="Z239" s="6">
        <f ca="1">('TUSD BE'!$AM$33+'TUSD BF'!$AM$33+'TUSD CVA'!$AM$33)*(1-CUSTOS!$M$38)</f>
        <v>488.10481154466686</v>
      </c>
      <c r="AA239" s="6">
        <f>('TE BE'!$AB$24+'TE BF'!$AB$24+'TE CVA'!$AB$24)*(1-CUSTOS!$M$38)</f>
        <v>156.75768826917292</v>
      </c>
      <c r="AB239" s="6">
        <f>$K$239*$V$239</f>
        <v>0</v>
      </c>
      <c r="AC239" s="6">
        <f>$M$239*$W$239</f>
        <v>6588.9584299999997</v>
      </c>
      <c r="AD239" s="6">
        <f>$O$239*$X$239</f>
        <v>2762.7953499999994</v>
      </c>
      <c r="AE239" s="6">
        <f>$K$239*$Y$239</f>
        <v>0</v>
      </c>
      <c r="AF239" s="6">
        <f ca="1">$M$239*$Z$239</f>
        <v>8250.4356295395028</v>
      </c>
      <c r="AG239" s="6">
        <f>$O$239*$AA$239</f>
        <v>2649.6752048138296</v>
      </c>
    </row>
    <row r="240" spans="1:33" ht="11.25" customHeight="1" x14ac:dyDescent="0.3">
      <c r="A240" s="4" t="s">
        <v>28</v>
      </c>
      <c r="B240" s="4" t="s">
        <v>43</v>
      </c>
      <c r="C240" s="4" t="s">
        <v>23</v>
      </c>
      <c r="D240" s="4" t="s">
        <v>44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44440</v>
      </c>
      <c r="J240" s="6">
        <v>0</v>
      </c>
      <c r="K240" s="6">
        <v>0</v>
      </c>
      <c r="L240" s="6">
        <v>-7.5999999999999998E-2</v>
      </c>
      <c r="M240" s="6">
        <v>-7.5999999999999998E-2</v>
      </c>
      <c r="N240" s="6">
        <v>-7.5999999999999998E-2</v>
      </c>
      <c r="O240" s="6">
        <v>-7.5999999999999998E-2</v>
      </c>
      <c r="P240" s="6">
        <v>1</v>
      </c>
      <c r="Q240" s="4" t="s">
        <v>26</v>
      </c>
      <c r="R240" s="4">
        <v>0</v>
      </c>
      <c r="S240" s="6">
        <v>0</v>
      </c>
      <c r="T240" s="6">
        <v>52</v>
      </c>
      <c r="U240" s="6">
        <v>9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389.81</v>
      </c>
      <c r="X240" s="6">
        <f>IF(ISERROR(VLOOKUP($U$240,'TAR FIN'!$A$1:$O$85,15,0)),0,VLOOKUP($U$240,'TAR FIN'!$A$1:$O$85,15,0))</f>
        <v>163.44999999999999</v>
      </c>
      <c r="Y240" s="6"/>
      <c r="Z240" s="6">
        <f ca="1">('TUSD BE'!$AM$33+'TUSD BF'!$AM$33+'TUSD CVA'!$AM$33)*(1-CUSTOS!$M$38)</f>
        <v>488.10481154466686</v>
      </c>
      <c r="AA240" s="6">
        <f>('TE BE'!$AB$24+'TE BF'!$AB$24+'TE CVA'!$AB$24)*(1-CUSTOS!$M$38)</f>
        <v>156.75768826917292</v>
      </c>
      <c r="AB240" s="6">
        <f>$K$240*$V$240</f>
        <v>0</v>
      </c>
      <c r="AC240" s="6">
        <f>$M$240*$W$240</f>
        <v>-29.62556</v>
      </c>
      <c r="AD240" s="6">
        <f>$O$240*$X$240</f>
        <v>-12.422199999999998</v>
      </c>
      <c r="AE240" s="6">
        <f>$K$240*$Y$240</f>
        <v>0</v>
      </c>
      <c r="AF240" s="6">
        <f ca="1">$M$240*$Z$240</f>
        <v>-37.09596567739468</v>
      </c>
      <c r="AG240" s="6">
        <f>$O$240*$AA$240</f>
        <v>-11.913584308457141</v>
      </c>
    </row>
    <row r="241" spans="1:33" ht="11.25" customHeight="1" x14ac:dyDescent="0.3">
      <c r="A241" s="4" t="s">
        <v>21</v>
      </c>
      <c r="B241" s="4" t="s">
        <v>43</v>
      </c>
      <c r="C241" s="4" t="s">
        <v>23</v>
      </c>
      <c r="D241" s="4" t="s">
        <v>44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44470</v>
      </c>
      <c r="J241" s="6">
        <v>0</v>
      </c>
      <c r="K241" s="6">
        <v>0</v>
      </c>
      <c r="L241" s="6">
        <v>1479.7449999999999</v>
      </c>
      <c r="M241" s="6">
        <v>1479.7449999999999</v>
      </c>
      <c r="N241" s="6">
        <v>1479.7449999999999</v>
      </c>
      <c r="O241" s="6">
        <v>1479.7449999999999</v>
      </c>
      <c r="P241" s="6">
        <v>5740</v>
      </c>
      <c r="Q241" s="4" t="s">
        <v>26</v>
      </c>
      <c r="R241" s="4">
        <v>0</v>
      </c>
      <c r="S241" s="6">
        <v>0</v>
      </c>
      <c r="T241" s="6">
        <v>52</v>
      </c>
      <c r="U241" s="6">
        <v>9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389.81</v>
      </c>
      <c r="X241" s="6">
        <f>IF(ISERROR(VLOOKUP($U$241,'TAR FIN'!$A$1:$O$85,15,0)),0,VLOOKUP($U$241,'TAR FIN'!$A$1:$O$85,15,0))</f>
        <v>163.44999999999999</v>
      </c>
      <c r="Y241" s="6"/>
      <c r="Z241" s="6">
        <f ca="1">('TUSD BE'!$AM$33+'TUSD BF'!$AM$33+'TUSD CVA'!$AM$33)*(1-CUSTOS!$M$38)</f>
        <v>488.10481154466686</v>
      </c>
      <c r="AA241" s="6">
        <f>('TE BE'!$AB$24+'TE BF'!$AB$24+'TE CVA'!$AB$24)*(1-CUSTOS!$M$38)</f>
        <v>156.75768826917292</v>
      </c>
      <c r="AB241" s="6">
        <f>$K$241*$V$241</f>
        <v>0</v>
      </c>
      <c r="AC241" s="6">
        <f>$M$241*$W$241</f>
        <v>576819.39844999998</v>
      </c>
      <c r="AD241" s="6">
        <f>$O$241*$X$241</f>
        <v>241864.32024999996</v>
      </c>
      <c r="AE241" s="6">
        <f>$K$241*$Y$241</f>
        <v>0</v>
      </c>
      <c r="AF241" s="6">
        <f ca="1">$M$241*$Z$241</f>
        <v>722270.65435916302</v>
      </c>
      <c r="AG241" s="6">
        <f>$O$241*$AA$241</f>
        <v>231961.40542786726</v>
      </c>
    </row>
    <row r="242" spans="1:33" ht="11.25" customHeight="1" x14ac:dyDescent="0.3">
      <c r="A242" s="4" t="s">
        <v>27</v>
      </c>
      <c r="B242" s="4" t="s">
        <v>43</v>
      </c>
      <c r="C242" s="4" t="s">
        <v>23</v>
      </c>
      <c r="D242" s="4" t="s">
        <v>44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44470</v>
      </c>
      <c r="J242" s="6">
        <v>0</v>
      </c>
      <c r="K242" s="6">
        <v>0</v>
      </c>
      <c r="L242" s="6">
        <v>-4.7249999999999996</v>
      </c>
      <c r="M242" s="6">
        <v>-4.7249999999999996</v>
      </c>
      <c r="N242" s="6">
        <v>-4.7249999999999996</v>
      </c>
      <c r="O242" s="6">
        <v>-4.7249999999999996</v>
      </c>
      <c r="P242" s="6">
        <v>0</v>
      </c>
      <c r="Q242" s="4" t="s">
        <v>26</v>
      </c>
      <c r="R242" s="4">
        <v>0</v>
      </c>
      <c r="S242" s="6">
        <v>0</v>
      </c>
      <c r="T242" s="6">
        <v>52</v>
      </c>
      <c r="U242" s="6">
        <v>9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389.81</v>
      </c>
      <c r="X242" s="6">
        <f>IF(ISERROR(VLOOKUP($U$242,'TAR FIN'!$A$1:$O$85,15,0)),0,VLOOKUP($U$242,'TAR FIN'!$A$1:$O$85,15,0))</f>
        <v>163.44999999999999</v>
      </c>
      <c r="Y242" s="6"/>
      <c r="Z242" s="6">
        <f ca="1">('TUSD BE'!$AM$33+'TUSD BF'!$AM$33+'TUSD CVA'!$AM$33)*(1-CUSTOS!$M$38)</f>
        <v>488.10481154466686</v>
      </c>
      <c r="AA242" s="6">
        <f>('TE BE'!$AB$24+'TE BF'!$AB$24+'TE CVA'!$AB$24)*(1-CUSTOS!$M$38)</f>
        <v>156.75768826917292</v>
      </c>
      <c r="AB242" s="6">
        <f>$K$242*$V$242</f>
        <v>0</v>
      </c>
      <c r="AC242" s="6">
        <f>$M$242*$W$242</f>
        <v>-1841.8522499999999</v>
      </c>
      <c r="AD242" s="6">
        <f>$O$242*$X$242</f>
        <v>-772.30124999999987</v>
      </c>
      <c r="AE242" s="6">
        <f>$K$242*$Y$242</f>
        <v>0</v>
      </c>
      <c r="AF242" s="6">
        <f ca="1">$M$242*$Z$242</f>
        <v>-2306.2952345485505</v>
      </c>
      <c r="AG242" s="6">
        <f>$O$242*$AA$242</f>
        <v>-740.68007707184199</v>
      </c>
    </row>
    <row r="243" spans="1:33" ht="11.25" customHeight="1" x14ac:dyDescent="0.3">
      <c r="A243" s="4" t="s">
        <v>28</v>
      </c>
      <c r="B243" s="4" t="s">
        <v>43</v>
      </c>
      <c r="C243" s="4" t="s">
        <v>23</v>
      </c>
      <c r="D243" s="4" t="s">
        <v>44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44470</v>
      </c>
      <c r="J243" s="6">
        <v>0</v>
      </c>
      <c r="K243" s="6">
        <v>0</v>
      </c>
      <c r="L243" s="6">
        <v>20.302</v>
      </c>
      <c r="M243" s="6">
        <v>20.302</v>
      </c>
      <c r="N243" s="6">
        <v>20.302</v>
      </c>
      <c r="O243" s="6">
        <v>20.302</v>
      </c>
      <c r="P243" s="6">
        <v>89</v>
      </c>
      <c r="Q243" s="4" t="s">
        <v>26</v>
      </c>
      <c r="R243" s="4">
        <v>0</v>
      </c>
      <c r="S243" s="6">
        <v>0</v>
      </c>
      <c r="T243" s="6">
        <v>52</v>
      </c>
      <c r="U243" s="6">
        <v>9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389.81</v>
      </c>
      <c r="X243" s="6">
        <f>IF(ISERROR(VLOOKUP($U$243,'TAR FIN'!$A$1:$O$85,15,0)),0,VLOOKUP($U$243,'TAR FIN'!$A$1:$O$85,15,0))</f>
        <v>163.44999999999999</v>
      </c>
      <c r="Y243" s="6"/>
      <c r="Z243" s="6">
        <f ca="1">('TUSD BE'!$AM$33+'TUSD BF'!$AM$33+'TUSD CVA'!$AM$33)*(1-CUSTOS!$M$38)</f>
        <v>488.10481154466686</v>
      </c>
      <c r="AA243" s="6">
        <f>('TE BE'!$AB$24+'TE BF'!$AB$24+'TE CVA'!$AB$24)*(1-CUSTOS!$M$38)</f>
        <v>156.75768826917292</v>
      </c>
      <c r="AB243" s="6">
        <f>$K$243*$V$243</f>
        <v>0</v>
      </c>
      <c r="AC243" s="6">
        <f>$M$243*$W$243</f>
        <v>7913.9226200000003</v>
      </c>
      <c r="AD243" s="6">
        <f>$O$243*$X$243</f>
        <v>3318.3618999999999</v>
      </c>
      <c r="AE243" s="6">
        <f>$K$243*$Y$243</f>
        <v>0</v>
      </c>
      <c r="AF243" s="6">
        <f ca="1">$M$243*$Z$243</f>
        <v>9909.5038839798272</v>
      </c>
      <c r="AG243" s="6">
        <f>$O$243*$AA$243</f>
        <v>3182.4945872407484</v>
      </c>
    </row>
    <row r="244" spans="1:33" ht="11.25" customHeight="1" x14ac:dyDescent="0.3">
      <c r="A244" s="4" t="s">
        <v>21</v>
      </c>
      <c r="B244" s="4" t="s">
        <v>43</v>
      </c>
      <c r="C244" s="4" t="s">
        <v>23</v>
      </c>
      <c r="D244" s="4" t="s">
        <v>44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44501</v>
      </c>
      <c r="J244" s="6">
        <v>0</v>
      </c>
      <c r="K244" s="6">
        <v>0</v>
      </c>
      <c r="L244" s="6">
        <v>1591.5719999999999</v>
      </c>
      <c r="M244" s="6">
        <v>1591.5719999999999</v>
      </c>
      <c r="N244" s="6">
        <v>1591.5719999999999</v>
      </c>
      <c r="O244" s="6">
        <v>1591.5719999999999</v>
      </c>
      <c r="P244" s="6">
        <v>5726</v>
      </c>
      <c r="Q244" s="4" t="s">
        <v>26</v>
      </c>
      <c r="R244" s="4">
        <v>0</v>
      </c>
      <c r="S244" s="6">
        <v>0</v>
      </c>
      <c r="T244" s="6">
        <v>52</v>
      </c>
      <c r="U244" s="6">
        <v>9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389.81</v>
      </c>
      <c r="X244" s="6">
        <f>IF(ISERROR(VLOOKUP($U$244,'TAR FIN'!$A$1:$O$85,15,0)),0,VLOOKUP($U$244,'TAR FIN'!$A$1:$O$85,15,0))</f>
        <v>163.44999999999999</v>
      </c>
      <c r="Y244" s="6"/>
      <c r="Z244" s="6">
        <f ca="1">('TUSD BE'!$AM$33+'TUSD BF'!$AM$33+'TUSD CVA'!$AM$33)*(1-CUSTOS!$M$38)</f>
        <v>488.10481154466686</v>
      </c>
      <c r="AA244" s="6">
        <f>('TE BE'!$AB$24+'TE BF'!$AB$24+'TE CVA'!$AB$24)*(1-CUSTOS!$M$38)</f>
        <v>156.75768826917292</v>
      </c>
      <c r="AB244" s="6">
        <f>$K$244*$V$244</f>
        <v>0</v>
      </c>
      <c r="AC244" s="6">
        <f>$M$244*$W$244</f>
        <v>620410.68131999997</v>
      </c>
      <c r="AD244" s="6">
        <f>$O$244*$X$244</f>
        <v>260142.44339999996</v>
      </c>
      <c r="AE244" s="6">
        <f>$K$244*$Y$244</f>
        <v>0</v>
      </c>
      <c r="AF244" s="6">
        <f ca="1">$M$244*$Z$244</f>
        <v>776853.95111976843</v>
      </c>
      <c r="AG244" s="6">
        <f>$O$244*$AA$244</f>
        <v>249491.14743394405</v>
      </c>
    </row>
    <row r="245" spans="1:33" ht="11.25" customHeight="1" x14ac:dyDescent="0.3">
      <c r="A245" s="4" t="s">
        <v>27</v>
      </c>
      <c r="B245" s="4" t="s">
        <v>43</v>
      </c>
      <c r="C245" s="4" t="s">
        <v>23</v>
      </c>
      <c r="D245" s="4" t="s">
        <v>44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44501</v>
      </c>
      <c r="J245" s="6">
        <v>0</v>
      </c>
      <c r="K245" s="6">
        <v>0</v>
      </c>
      <c r="L245" s="6">
        <v>-4.9260000000000002</v>
      </c>
      <c r="M245" s="6">
        <v>-4.9260000000000002</v>
      </c>
      <c r="N245" s="6">
        <v>-4.9260000000000002</v>
      </c>
      <c r="O245" s="6">
        <v>-4.9260000000000002</v>
      </c>
      <c r="P245" s="6">
        <v>0</v>
      </c>
      <c r="Q245" s="4" t="s">
        <v>26</v>
      </c>
      <c r="R245" s="4">
        <v>0</v>
      </c>
      <c r="S245" s="6">
        <v>0</v>
      </c>
      <c r="T245" s="6">
        <v>52</v>
      </c>
      <c r="U245" s="6">
        <v>9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389.81</v>
      </c>
      <c r="X245" s="6">
        <f>IF(ISERROR(VLOOKUP($U$245,'TAR FIN'!$A$1:$O$85,15,0)),0,VLOOKUP($U$245,'TAR FIN'!$A$1:$O$85,15,0))</f>
        <v>163.44999999999999</v>
      </c>
      <c r="Y245" s="6"/>
      <c r="Z245" s="6">
        <f ca="1">('TUSD BE'!$AM$33+'TUSD BF'!$AM$33+'TUSD CVA'!$AM$33)*(1-CUSTOS!$M$38)</f>
        <v>488.10481154466686</v>
      </c>
      <c r="AA245" s="6">
        <f>('TE BE'!$AB$24+'TE BF'!$AB$24+'TE CVA'!$AB$24)*(1-CUSTOS!$M$38)</f>
        <v>156.75768826917292</v>
      </c>
      <c r="AB245" s="6">
        <f>$K$245*$V$245</f>
        <v>0</v>
      </c>
      <c r="AC245" s="6">
        <f>$M$245*$W$245</f>
        <v>-1920.20406</v>
      </c>
      <c r="AD245" s="6">
        <f>$O$245*$X$245</f>
        <v>-805.15469999999993</v>
      </c>
      <c r="AE245" s="6">
        <f>$K$245*$Y$245</f>
        <v>0</v>
      </c>
      <c r="AF245" s="6">
        <f ca="1">$M$245*$Z$245</f>
        <v>-2404.4043016690289</v>
      </c>
      <c r="AG245" s="6">
        <f>$O$245*$AA$245</f>
        <v>-772.18837241394579</v>
      </c>
    </row>
    <row r="246" spans="1:33" ht="11.25" customHeight="1" x14ac:dyDescent="0.3">
      <c r="A246" s="4" t="s">
        <v>28</v>
      </c>
      <c r="B246" s="4" t="s">
        <v>43</v>
      </c>
      <c r="C246" s="4" t="s">
        <v>23</v>
      </c>
      <c r="D246" s="4" t="s">
        <v>44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44501</v>
      </c>
      <c r="J246" s="6">
        <v>0</v>
      </c>
      <c r="K246" s="6">
        <v>0</v>
      </c>
      <c r="L246" s="6">
        <v>19.436</v>
      </c>
      <c r="M246" s="6">
        <v>19.436</v>
      </c>
      <c r="N246" s="6">
        <v>19.436</v>
      </c>
      <c r="O246" s="6">
        <v>19.436</v>
      </c>
      <c r="P246" s="6">
        <v>105</v>
      </c>
      <c r="Q246" s="4" t="s">
        <v>26</v>
      </c>
      <c r="R246" s="4">
        <v>0</v>
      </c>
      <c r="S246" s="6">
        <v>0</v>
      </c>
      <c r="T246" s="6">
        <v>52</v>
      </c>
      <c r="U246" s="6">
        <v>9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389.81</v>
      </c>
      <c r="X246" s="6">
        <f>IF(ISERROR(VLOOKUP($U$246,'TAR FIN'!$A$1:$O$85,15,0)),0,VLOOKUP($U$246,'TAR FIN'!$A$1:$O$85,15,0))</f>
        <v>163.44999999999999</v>
      </c>
      <c r="Y246" s="6"/>
      <c r="Z246" s="6">
        <f ca="1">('TUSD BE'!$AM$33+'TUSD BF'!$AM$33+'TUSD CVA'!$AM$33)*(1-CUSTOS!$M$38)</f>
        <v>488.10481154466686</v>
      </c>
      <c r="AA246" s="6">
        <f>('TE BE'!$AB$24+'TE BF'!$AB$24+'TE CVA'!$AB$24)*(1-CUSTOS!$M$38)</f>
        <v>156.75768826917292</v>
      </c>
      <c r="AB246" s="6">
        <f>$K$246*$V$246</f>
        <v>0</v>
      </c>
      <c r="AC246" s="6">
        <f>$M$246*$W$246</f>
        <v>7576.3471600000003</v>
      </c>
      <c r="AD246" s="6">
        <f>$O$246*$X$246</f>
        <v>3176.8141999999998</v>
      </c>
      <c r="AE246" s="6">
        <f>$K$246*$Y$246</f>
        <v>0</v>
      </c>
      <c r="AF246" s="6">
        <f ca="1">$M$246*$Z$246</f>
        <v>9486.8051171821444</v>
      </c>
      <c r="AG246" s="6">
        <f>$O$246*$AA$246</f>
        <v>3046.7424291996449</v>
      </c>
    </row>
    <row r="247" spans="1:33" ht="11.25" customHeight="1" x14ac:dyDescent="0.3">
      <c r="A247" s="4" t="s">
        <v>28</v>
      </c>
      <c r="B247" s="4" t="s">
        <v>43</v>
      </c>
      <c r="C247" s="4" t="s">
        <v>23</v>
      </c>
      <c r="D247" s="4" t="s">
        <v>44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44501</v>
      </c>
      <c r="J247" s="6">
        <v>0</v>
      </c>
      <c r="K247" s="6">
        <v>0</v>
      </c>
      <c r="L247" s="6">
        <v>-1.0269999999999999</v>
      </c>
      <c r="M247" s="6">
        <v>-1.0269999999999999</v>
      </c>
      <c r="N247" s="6">
        <v>-1.0269999999999999</v>
      </c>
      <c r="O247" s="6">
        <v>-1.0269999999999999</v>
      </c>
      <c r="P247" s="6">
        <v>2</v>
      </c>
      <c r="Q247" s="4" t="s">
        <v>26</v>
      </c>
      <c r="R247" s="4">
        <v>0</v>
      </c>
      <c r="S247" s="6">
        <v>0</v>
      </c>
      <c r="T247" s="6">
        <v>52</v>
      </c>
      <c r="U247" s="6">
        <v>9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389.81</v>
      </c>
      <c r="X247" s="6">
        <f>IF(ISERROR(VLOOKUP($U$247,'TAR FIN'!$A$1:$O$85,15,0)),0,VLOOKUP($U$247,'TAR FIN'!$A$1:$O$85,15,0))</f>
        <v>163.44999999999999</v>
      </c>
      <c r="Y247" s="6"/>
      <c r="Z247" s="6">
        <f ca="1">('TUSD BE'!$AM$33+'TUSD BF'!$AM$33+'TUSD CVA'!$AM$33)*(1-CUSTOS!$M$38)</f>
        <v>488.10481154466686</v>
      </c>
      <c r="AA247" s="6">
        <f>('TE BE'!$AB$24+'TE BF'!$AB$24+'TE CVA'!$AB$24)*(1-CUSTOS!$M$38)</f>
        <v>156.75768826917292</v>
      </c>
      <c r="AB247" s="6">
        <f>$K$247*$V$247</f>
        <v>0</v>
      </c>
      <c r="AC247" s="6">
        <f>$M$247*$W$247</f>
        <v>-400.33486999999997</v>
      </c>
      <c r="AD247" s="6">
        <f>$O$247*$X$247</f>
        <v>-167.86314999999996</v>
      </c>
      <c r="AE247" s="6">
        <f>$K$247*$Y$247</f>
        <v>0</v>
      </c>
      <c r="AF247" s="6">
        <f ca="1">$M$247*$Z$247</f>
        <v>-501.28364145637283</v>
      </c>
      <c r="AG247" s="6">
        <f>$O$247*$AA$247</f>
        <v>-160.99014585244058</v>
      </c>
    </row>
    <row r="248" spans="1:33" ht="11.25" customHeight="1" x14ac:dyDescent="0.3">
      <c r="A248" s="4" t="s">
        <v>21</v>
      </c>
      <c r="B248" s="4" t="s">
        <v>43</v>
      </c>
      <c r="C248" s="4" t="s">
        <v>23</v>
      </c>
      <c r="D248" s="4" t="s">
        <v>44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44531</v>
      </c>
      <c r="J248" s="6">
        <v>0</v>
      </c>
      <c r="K248" s="6">
        <v>0</v>
      </c>
      <c r="L248" s="6">
        <v>1747.2080000000001</v>
      </c>
      <c r="M248" s="6">
        <v>1747.2080000000001</v>
      </c>
      <c r="N248" s="6">
        <v>1747.2080000000001</v>
      </c>
      <c r="O248" s="6">
        <v>1747.2080000000001</v>
      </c>
      <c r="P248" s="6">
        <v>5715</v>
      </c>
      <c r="Q248" s="4" t="s">
        <v>26</v>
      </c>
      <c r="R248" s="4">
        <v>0</v>
      </c>
      <c r="S248" s="6">
        <v>0</v>
      </c>
      <c r="T248" s="6">
        <v>52</v>
      </c>
      <c r="U248" s="6">
        <v>9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389.81</v>
      </c>
      <c r="X248" s="6">
        <f>IF(ISERROR(VLOOKUP($U$248,'TAR FIN'!$A$1:$O$85,15,0)),0,VLOOKUP($U$248,'TAR FIN'!$A$1:$O$85,15,0))</f>
        <v>163.44999999999999</v>
      </c>
      <c r="Y248" s="6"/>
      <c r="Z248" s="6">
        <f ca="1">('TUSD BE'!$AM$33+'TUSD BF'!$AM$33+'TUSD CVA'!$AM$33)*(1-CUSTOS!$M$38)</f>
        <v>488.10481154466686</v>
      </c>
      <c r="AA248" s="6">
        <f>('TE BE'!$AB$24+'TE BF'!$AB$24+'TE CVA'!$AB$24)*(1-CUSTOS!$M$38)</f>
        <v>156.75768826917292</v>
      </c>
      <c r="AB248" s="6">
        <f>$K$248*$V$248</f>
        <v>0</v>
      </c>
      <c r="AC248" s="6">
        <f>$M$248*$W$248</f>
        <v>681079.15048000007</v>
      </c>
      <c r="AD248" s="6">
        <f>$O$248*$X$248</f>
        <v>285581.14759999997</v>
      </c>
      <c r="AE248" s="6">
        <f>$K$248*$Y$248</f>
        <v>0</v>
      </c>
      <c r="AF248" s="6">
        <f ca="1">$M$248*$Z$248</f>
        <v>852820.63156933431</v>
      </c>
      <c r="AG248" s="6">
        <f>$O$248*$AA$248</f>
        <v>273888.28700540506</v>
      </c>
    </row>
    <row r="249" spans="1:33" ht="11.25" customHeight="1" x14ac:dyDescent="0.3">
      <c r="A249" s="4" t="s">
        <v>27</v>
      </c>
      <c r="B249" s="4" t="s">
        <v>43</v>
      </c>
      <c r="C249" s="4" t="s">
        <v>23</v>
      </c>
      <c r="D249" s="4" t="s">
        <v>44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44531</v>
      </c>
      <c r="J249" s="6">
        <v>0</v>
      </c>
      <c r="K249" s="6">
        <v>0</v>
      </c>
      <c r="L249" s="6">
        <v>0.81899999999999995</v>
      </c>
      <c r="M249" s="6">
        <v>0.81899999999999995</v>
      </c>
      <c r="N249" s="6">
        <v>0.81899999999999995</v>
      </c>
      <c r="O249" s="6">
        <v>0.81899999999999995</v>
      </c>
      <c r="P249" s="6">
        <v>0</v>
      </c>
      <c r="Q249" s="4" t="s">
        <v>26</v>
      </c>
      <c r="R249" s="4">
        <v>0</v>
      </c>
      <c r="S249" s="6">
        <v>0</v>
      </c>
      <c r="T249" s="6">
        <v>52</v>
      </c>
      <c r="U249" s="6">
        <v>9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389.81</v>
      </c>
      <c r="X249" s="6">
        <f>IF(ISERROR(VLOOKUP($U$249,'TAR FIN'!$A$1:$O$85,15,0)),0,VLOOKUP($U$249,'TAR FIN'!$A$1:$O$85,15,0))</f>
        <v>163.44999999999999</v>
      </c>
      <c r="Y249" s="6"/>
      <c r="Z249" s="6">
        <f ca="1">('TUSD BE'!$AM$33+'TUSD BF'!$AM$33+'TUSD CVA'!$AM$33)*(1-CUSTOS!$M$38)</f>
        <v>488.10481154466686</v>
      </c>
      <c r="AA249" s="6">
        <f>('TE BE'!$AB$24+'TE BF'!$AB$24+'TE CVA'!$AB$24)*(1-CUSTOS!$M$38)</f>
        <v>156.75768826917292</v>
      </c>
      <c r="AB249" s="6">
        <f>$K$249*$V$249</f>
        <v>0</v>
      </c>
      <c r="AC249" s="6">
        <f>$M$249*$W$249</f>
        <v>319.25439</v>
      </c>
      <c r="AD249" s="6">
        <f>$O$249*$X$249</f>
        <v>133.86554999999998</v>
      </c>
      <c r="AE249" s="6">
        <f>$K$249*$Y$249</f>
        <v>0</v>
      </c>
      <c r="AF249" s="6">
        <f ca="1">$M$249*$Z$249</f>
        <v>399.75784065508213</v>
      </c>
      <c r="AG249" s="6">
        <f>$O$249*$AA$249</f>
        <v>128.3845466924526</v>
      </c>
    </row>
    <row r="250" spans="1:33" ht="11.25" customHeight="1" x14ac:dyDescent="0.3">
      <c r="A250" s="4" t="s">
        <v>28</v>
      </c>
      <c r="B250" s="4" t="s">
        <v>43</v>
      </c>
      <c r="C250" s="4" t="s">
        <v>23</v>
      </c>
      <c r="D250" s="4" t="s">
        <v>44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44531</v>
      </c>
      <c r="J250" s="6">
        <v>0</v>
      </c>
      <c r="K250" s="6">
        <v>0</v>
      </c>
      <c r="L250" s="6">
        <v>20.591999999999999</v>
      </c>
      <c r="M250" s="6">
        <v>20.591999999999999</v>
      </c>
      <c r="N250" s="6">
        <v>20.591999999999999</v>
      </c>
      <c r="O250" s="6">
        <v>20.591999999999999</v>
      </c>
      <c r="P250" s="6">
        <v>113</v>
      </c>
      <c r="Q250" s="4" t="s">
        <v>26</v>
      </c>
      <c r="R250" s="4">
        <v>0</v>
      </c>
      <c r="S250" s="6">
        <v>0</v>
      </c>
      <c r="T250" s="6">
        <v>52</v>
      </c>
      <c r="U250" s="6">
        <v>9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389.81</v>
      </c>
      <c r="X250" s="6">
        <f>IF(ISERROR(VLOOKUP($U$250,'TAR FIN'!$A$1:$O$85,15,0)),0,VLOOKUP($U$250,'TAR FIN'!$A$1:$O$85,15,0))</f>
        <v>163.44999999999999</v>
      </c>
      <c r="Y250" s="6"/>
      <c r="Z250" s="6">
        <f ca="1">('TUSD BE'!$AM$33+'TUSD BF'!$AM$33+'TUSD CVA'!$AM$33)*(1-CUSTOS!$M$38)</f>
        <v>488.10481154466686</v>
      </c>
      <c r="AA250" s="6">
        <f>('TE BE'!$AB$24+'TE BF'!$AB$24+'TE CVA'!$AB$24)*(1-CUSTOS!$M$38)</f>
        <v>156.75768826917292</v>
      </c>
      <c r="AB250" s="6">
        <f>$K$250*$V$250</f>
        <v>0</v>
      </c>
      <c r="AC250" s="6">
        <f>$M$250*$W$250</f>
        <v>8026.9675199999992</v>
      </c>
      <c r="AD250" s="6">
        <f>$O$250*$X$250</f>
        <v>3365.7623999999996</v>
      </c>
      <c r="AE250" s="6">
        <f>$K$250*$Y$250</f>
        <v>0</v>
      </c>
      <c r="AF250" s="6">
        <f ca="1">$M$250*$Z$250</f>
        <v>10051.05427932778</v>
      </c>
      <c r="AG250" s="6">
        <f>$O$250*$AA$250</f>
        <v>3227.9543168388086</v>
      </c>
    </row>
    <row r="251" spans="1:33" ht="11.25" customHeight="1" x14ac:dyDescent="0.3">
      <c r="A251" s="4" t="s">
        <v>21</v>
      </c>
      <c r="B251" s="4" t="s">
        <v>43</v>
      </c>
      <c r="C251" s="4" t="s">
        <v>23</v>
      </c>
      <c r="D251" s="4" t="s">
        <v>44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44562</v>
      </c>
      <c r="J251" s="6">
        <v>0</v>
      </c>
      <c r="K251" s="6">
        <v>0</v>
      </c>
      <c r="L251" s="6">
        <v>2243.922</v>
      </c>
      <c r="M251" s="6">
        <v>2243.922</v>
      </c>
      <c r="N251" s="6">
        <v>2243.922</v>
      </c>
      <c r="O251" s="6">
        <v>2243.922</v>
      </c>
      <c r="P251" s="6">
        <v>5706</v>
      </c>
      <c r="Q251" s="4" t="s">
        <v>26</v>
      </c>
      <c r="R251" s="4">
        <v>0</v>
      </c>
      <c r="S251" s="6">
        <v>0</v>
      </c>
      <c r="T251" s="6">
        <v>52</v>
      </c>
      <c r="U251" s="6">
        <v>9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389.81</v>
      </c>
      <c r="X251" s="6">
        <f>IF(ISERROR(VLOOKUP($U$251,'TAR FIN'!$A$1:$O$85,15,0)),0,VLOOKUP($U$251,'TAR FIN'!$A$1:$O$85,15,0))</f>
        <v>163.44999999999999</v>
      </c>
      <c r="Y251" s="6"/>
      <c r="Z251" s="6">
        <f ca="1">('TUSD BE'!$AM$33+'TUSD BF'!$AM$33+'TUSD CVA'!$AM$33)*(1-CUSTOS!$M$38)</f>
        <v>488.10481154466686</v>
      </c>
      <c r="AA251" s="6">
        <f>('TE BE'!$AB$24+'TE BF'!$AB$24+'TE CVA'!$AB$24)*(1-CUSTOS!$M$38)</f>
        <v>156.75768826917292</v>
      </c>
      <c r="AB251" s="6">
        <f>$K$251*$V$251</f>
        <v>0</v>
      </c>
      <c r="AC251" s="6">
        <f>$M$251*$W$251</f>
        <v>874703.23482000001</v>
      </c>
      <c r="AD251" s="6">
        <f>$O$251*$X$251</f>
        <v>366769.05089999997</v>
      </c>
      <c r="AE251" s="6">
        <f>$K$251*$Y$251</f>
        <v>0</v>
      </c>
      <c r="AF251" s="6">
        <f ca="1">$M$251*$Z$251</f>
        <v>1095269.124930932</v>
      </c>
      <c r="AG251" s="6">
        <f>$O$251*$AA$251</f>
        <v>351752.02537633904</v>
      </c>
    </row>
    <row r="252" spans="1:33" ht="11.25" customHeight="1" x14ac:dyDescent="0.3">
      <c r="A252" s="4" t="s">
        <v>27</v>
      </c>
      <c r="B252" s="4" t="s">
        <v>43</v>
      </c>
      <c r="C252" s="4" t="s">
        <v>23</v>
      </c>
      <c r="D252" s="4" t="s">
        <v>44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44562</v>
      </c>
      <c r="J252" s="6">
        <v>0</v>
      </c>
      <c r="K252" s="6">
        <v>0</v>
      </c>
      <c r="L252" s="6">
        <v>-2.4689999999999999</v>
      </c>
      <c r="M252" s="6">
        <v>-2.4689999999999999</v>
      </c>
      <c r="N252" s="6">
        <v>-2.4689999999999999</v>
      </c>
      <c r="O252" s="6">
        <v>-2.4689999999999999</v>
      </c>
      <c r="P252" s="6">
        <v>0</v>
      </c>
      <c r="Q252" s="4" t="s">
        <v>26</v>
      </c>
      <c r="R252" s="4">
        <v>0</v>
      </c>
      <c r="S252" s="6">
        <v>0</v>
      </c>
      <c r="T252" s="6">
        <v>52</v>
      </c>
      <c r="U252" s="6">
        <v>9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389.81</v>
      </c>
      <c r="X252" s="6">
        <f>IF(ISERROR(VLOOKUP($U$252,'TAR FIN'!$A$1:$O$85,15,0)),0,VLOOKUP($U$252,'TAR FIN'!$A$1:$O$85,15,0))</f>
        <v>163.44999999999999</v>
      </c>
      <c r="Y252" s="6"/>
      <c r="Z252" s="6">
        <f ca="1">('TUSD BE'!$AM$33+'TUSD BF'!$AM$33+'TUSD CVA'!$AM$33)*(1-CUSTOS!$M$38)</f>
        <v>488.10481154466686</v>
      </c>
      <c r="AA252" s="6">
        <f>('TE BE'!$AB$24+'TE BF'!$AB$24+'TE CVA'!$AB$24)*(1-CUSTOS!$M$38)</f>
        <v>156.75768826917292</v>
      </c>
      <c r="AB252" s="6">
        <f>$K$252*$V$252</f>
        <v>0</v>
      </c>
      <c r="AC252" s="6">
        <f>$M$252*$W$252</f>
        <v>-962.44088999999997</v>
      </c>
      <c r="AD252" s="6">
        <f>$O$252*$X$252</f>
        <v>-403.55804999999992</v>
      </c>
      <c r="AE252" s="6">
        <f>$K$252*$Y$252</f>
        <v>0</v>
      </c>
      <c r="AF252" s="6">
        <f ca="1">$M$252*$Z$252</f>
        <v>-1205.1307797037823</v>
      </c>
      <c r="AG252" s="6">
        <f>$O$252*$AA$252</f>
        <v>-387.03473233658792</v>
      </c>
    </row>
    <row r="253" spans="1:33" ht="11.25" customHeight="1" x14ac:dyDescent="0.3">
      <c r="A253" s="4" t="s">
        <v>28</v>
      </c>
      <c r="B253" s="4" t="s">
        <v>43</v>
      </c>
      <c r="C253" s="4" t="s">
        <v>23</v>
      </c>
      <c r="D253" s="4" t="s">
        <v>44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44562</v>
      </c>
      <c r="J253" s="6">
        <v>0</v>
      </c>
      <c r="K253" s="6">
        <v>0</v>
      </c>
      <c r="L253" s="6">
        <v>28.690999999999999</v>
      </c>
      <c r="M253" s="6">
        <v>28.690999999999999</v>
      </c>
      <c r="N253" s="6">
        <v>28.690999999999999</v>
      </c>
      <c r="O253" s="6">
        <v>28.690999999999999</v>
      </c>
      <c r="P253" s="6">
        <v>120</v>
      </c>
      <c r="Q253" s="4" t="s">
        <v>26</v>
      </c>
      <c r="R253" s="4">
        <v>0</v>
      </c>
      <c r="S253" s="6">
        <v>0</v>
      </c>
      <c r="T253" s="6">
        <v>52</v>
      </c>
      <c r="U253" s="6">
        <v>9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389.81</v>
      </c>
      <c r="X253" s="6">
        <f>IF(ISERROR(VLOOKUP($U$253,'TAR FIN'!$A$1:$O$85,15,0)),0,VLOOKUP($U$253,'TAR FIN'!$A$1:$O$85,15,0))</f>
        <v>163.44999999999999</v>
      </c>
      <c r="Y253" s="6"/>
      <c r="Z253" s="6">
        <f ca="1">('TUSD BE'!$AM$33+'TUSD BF'!$AM$33+'TUSD CVA'!$AM$33)*(1-CUSTOS!$M$38)</f>
        <v>488.10481154466686</v>
      </c>
      <c r="AA253" s="6">
        <f>('TE BE'!$AB$24+'TE BF'!$AB$24+'TE CVA'!$AB$24)*(1-CUSTOS!$M$38)</f>
        <v>156.75768826917292</v>
      </c>
      <c r="AB253" s="6">
        <f>$K$253*$V$253</f>
        <v>0</v>
      </c>
      <c r="AC253" s="6">
        <f>$M$253*$W$253</f>
        <v>11184.038709999999</v>
      </c>
      <c r="AD253" s="6">
        <f>$O$253*$X$253</f>
        <v>4689.5439499999993</v>
      </c>
      <c r="AE253" s="6">
        <f>$K$253*$Y$253</f>
        <v>0</v>
      </c>
      <c r="AF253" s="6">
        <f ca="1">$M$253*$Z$253</f>
        <v>14004.215148028037</v>
      </c>
      <c r="AG253" s="6">
        <f>$O$253*$AA$253</f>
        <v>4497.53483413084</v>
      </c>
    </row>
    <row r="254" spans="1:33" ht="11.25" customHeight="1" x14ac:dyDescent="0.3">
      <c r="A254" s="4" t="s">
        <v>21</v>
      </c>
      <c r="B254" s="4" t="s">
        <v>43</v>
      </c>
      <c r="C254" s="4" t="s">
        <v>23</v>
      </c>
      <c r="D254" s="4" t="s">
        <v>44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44593</v>
      </c>
      <c r="J254" s="6">
        <v>0</v>
      </c>
      <c r="K254" s="6">
        <v>0</v>
      </c>
      <c r="L254" s="6">
        <v>2134.567</v>
      </c>
      <c r="M254" s="6">
        <v>2134.567</v>
      </c>
      <c r="N254" s="6">
        <v>2134.567</v>
      </c>
      <c r="O254" s="6">
        <v>2134.567</v>
      </c>
      <c r="P254" s="6">
        <v>5678</v>
      </c>
      <c r="Q254" s="4" t="s">
        <v>26</v>
      </c>
      <c r="R254" s="4">
        <v>0</v>
      </c>
      <c r="S254" s="6">
        <v>0</v>
      </c>
      <c r="T254" s="6">
        <v>52</v>
      </c>
      <c r="U254" s="6">
        <v>9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389.81</v>
      </c>
      <c r="X254" s="6">
        <f>IF(ISERROR(VLOOKUP($U$254,'TAR FIN'!$A$1:$O$85,15,0)),0,VLOOKUP($U$254,'TAR FIN'!$A$1:$O$85,15,0))</f>
        <v>163.44999999999999</v>
      </c>
      <c r="Y254" s="6"/>
      <c r="Z254" s="6">
        <f ca="1">('TUSD BE'!$AM$33+'TUSD BF'!$AM$33+'TUSD CVA'!$AM$33)*(1-CUSTOS!$M$38)</f>
        <v>488.10481154466686</v>
      </c>
      <c r="AA254" s="6">
        <f>('TE BE'!$AB$24+'TE BF'!$AB$24+'TE CVA'!$AB$24)*(1-CUSTOS!$M$38)</f>
        <v>156.75768826917292</v>
      </c>
      <c r="AB254" s="6">
        <f>$K$254*$V$254</f>
        <v>0</v>
      </c>
      <c r="AC254" s="6">
        <f>$M$254*$W$254</f>
        <v>832075.56226999999</v>
      </c>
      <c r="AD254" s="6">
        <f>$O$254*$X$254</f>
        <v>348894.97615</v>
      </c>
      <c r="AE254" s="6">
        <f>$K$254*$Y$254</f>
        <v>0</v>
      </c>
      <c r="AF254" s="6">
        <f ca="1">$M$254*$Z$254</f>
        <v>1041892.4232644649</v>
      </c>
      <c r="AG254" s="6">
        <f>$O$254*$AA$254</f>
        <v>334609.78837566363</v>
      </c>
    </row>
    <row r="255" spans="1:33" ht="11.25" customHeight="1" x14ac:dyDescent="0.3">
      <c r="A255" s="4" t="s">
        <v>27</v>
      </c>
      <c r="B255" s="4" t="s">
        <v>43</v>
      </c>
      <c r="C255" s="4" t="s">
        <v>23</v>
      </c>
      <c r="D255" s="4" t="s">
        <v>44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44593</v>
      </c>
      <c r="J255" s="6">
        <v>0</v>
      </c>
      <c r="K255" s="6">
        <v>0</v>
      </c>
      <c r="L255" s="6">
        <v>-2.1890000000000001</v>
      </c>
      <c r="M255" s="6">
        <v>-2.1890000000000001</v>
      </c>
      <c r="N255" s="6">
        <v>-2.1890000000000001</v>
      </c>
      <c r="O255" s="6">
        <v>-2.1890000000000001</v>
      </c>
      <c r="P255" s="6">
        <v>0</v>
      </c>
      <c r="Q255" s="4" t="s">
        <v>26</v>
      </c>
      <c r="R255" s="4">
        <v>0</v>
      </c>
      <c r="S255" s="6">
        <v>0</v>
      </c>
      <c r="T255" s="6">
        <v>52</v>
      </c>
      <c r="U255" s="6">
        <v>9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389.81</v>
      </c>
      <c r="X255" s="6">
        <f>IF(ISERROR(VLOOKUP($U$255,'TAR FIN'!$A$1:$O$85,15,0)),0,VLOOKUP($U$255,'TAR FIN'!$A$1:$O$85,15,0))</f>
        <v>163.44999999999999</v>
      </c>
      <c r="Y255" s="6"/>
      <c r="Z255" s="6">
        <f ca="1">('TUSD BE'!$AM$33+'TUSD BF'!$AM$33+'TUSD CVA'!$AM$33)*(1-CUSTOS!$M$38)</f>
        <v>488.10481154466686</v>
      </c>
      <c r="AA255" s="6">
        <f>('TE BE'!$AB$24+'TE BF'!$AB$24+'TE CVA'!$AB$24)*(1-CUSTOS!$M$38)</f>
        <v>156.75768826917292</v>
      </c>
      <c r="AB255" s="6">
        <f>$K$255*$V$255</f>
        <v>0</v>
      </c>
      <c r="AC255" s="6">
        <f>$M$255*$W$255</f>
        <v>-853.29408999999998</v>
      </c>
      <c r="AD255" s="6">
        <f>$O$255*$X$255</f>
        <v>-357.79204999999996</v>
      </c>
      <c r="AE255" s="6">
        <f>$K$255*$Y$255</f>
        <v>0</v>
      </c>
      <c r="AF255" s="6">
        <f ca="1">$M$255*$Z$255</f>
        <v>-1068.4614324712759</v>
      </c>
      <c r="AG255" s="6">
        <f>$O$255*$AA$255</f>
        <v>-343.14257962121951</v>
      </c>
    </row>
    <row r="256" spans="1:33" ht="11.25" customHeight="1" x14ac:dyDescent="0.3">
      <c r="A256" s="4" t="s">
        <v>28</v>
      </c>
      <c r="B256" s="4" t="s">
        <v>43</v>
      </c>
      <c r="C256" s="4" t="s">
        <v>23</v>
      </c>
      <c r="D256" s="4" t="s">
        <v>44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44593</v>
      </c>
      <c r="J256" s="6">
        <v>0</v>
      </c>
      <c r="K256" s="6">
        <v>0</v>
      </c>
      <c r="L256" s="6">
        <v>45.225999999999999</v>
      </c>
      <c r="M256" s="6">
        <v>45.225999999999999</v>
      </c>
      <c r="N256" s="6">
        <v>45.225999999999999</v>
      </c>
      <c r="O256" s="6">
        <v>45.225999999999999</v>
      </c>
      <c r="P256" s="6">
        <v>135</v>
      </c>
      <c r="Q256" s="4" t="s">
        <v>26</v>
      </c>
      <c r="R256" s="4">
        <v>0</v>
      </c>
      <c r="S256" s="6">
        <v>0</v>
      </c>
      <c r="T256" s="6">
        <v>52</v>
      </c>
      <c r="U256" s="6">
        <v>9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389.81</v>
      </c>
      <c r="X256" s="6">
        <f>IF(ISERROR(VLOOKUP($U$256,'TAR FIN'!$A$1:$O$85,15,0)),0,VLOOKUP($U$256,'TAR FIN'!$A$1:$O$85,15,0))</f>
        <v>163.44999999999999</v>
      </c>
      <c r="Y256" s="6"/>
      <c r="Z256" s="6">
        <f ca="1">('TUSD BE'!$AM$33+'TUSD BF'!$AM$33+'TUSD CVA'!$AM$33)*(1-CUSTOS!$M$38)</f>
        <v>488.10481154466686</v>
      </c>
      <c r="AA256" s="6">
        <f>('TE BE'!$AB$24+'TE BF'!$AB$24+'TE CVA'!$AB$24)*(1-CUSTOS!$M$38)</f>
        <v>156.75768826917292</v>
      </c>
      <c r="AB256" s="6">
        <f>$K$256*$V$256</f>
        <v>0</v>
      </c>
      <c r="AC256" s="6">
        <f>$M$256*$W$256</f>
        <v>17629.547060000001</v>
      </c>
      <c r="AD256" s="6">
        <f>$O$256*$X$256</f>
        <v>7392.189699999999</v>
      </c>
      <c r="AE256" s="6">
        <f>$K$256*$Y$256</f>
        <v>0</v>
      </c>
      <c r="AF256" s="6">
        <f ca="1">$M$256*$Z$256</f>
        <v>22075.028206919102</v>
      </c>
      <c r="AG256" s="6">
        <f>$O$256*$AA$256</f>
        <v>7089.5232096616146</v>
      </c>
    </row>
    <row r="257" spans="1:33" ht="11.25" customHeight="1" x14ac:dyDescent="0.3">
      <c r="A257" s="4" t="s">
        <v>28</v>
      </c>
      <c r="B257" s="4" t="s">
        <v>43</v>
      </c>
      <c r="C257" s="4" t="s">
        <v>23</v>
      </c>
      <c r="D257" s="4" t="s">
        <v>44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44593</v>
      </c>
      <c r="J257" s="6">
        <v>0</v>
      </c>
      <c r="K257" s="6">
        <v>0</v>
      </c>
      <c r="L257" s="6">
        <v>-2.0179999999999998</v>
      </c>
      <c r="M257" s="6">
        <v>-2.0179999999999998</v>
      </c>
      <c r="N257" s="6">
        <v>-2.0179999999999998</v>
      </c>
      <c r="O257" s="6">
        <v>-2.0179999999999998</v>
      </c>
      <c r="P257" s="6">
        <v>2</v>
      </c>
      <c r="Q257" s="4" t="s">
        <v>26</v>
      </c>
      <c r="R257" s="4">
        <v>0</v>
      </c>
      <c r="S257" s="6">
        <v>0</v>
      </c>
      <c r="T257" s="6">
        <v>52</v>
      </c>
      <c r="U257" s="6">
        <v>9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389.81</v>
      </c>
      <c r="X257" s="6">
        <f>IF(ISERROR(VLOOKUP($U$257,'TAR FIN'!$A$1:$O$85,15,0)),0,VLOOKUP($U$257,'TAR FIN'!$A$1:$O$85,15,0))</f>
        <v>163.44999999999999</v>
      </c>
      <c r="Y257" s="6"/>
      <c r="Z257" s="6">
        <f ca="1">('TUSD BE'!$AM$33+'TUSD BF'!$AM$33+'TUSD CVA'!$AM$33)*(1-CUSTOS!$M$38)</f>
        <v>488.10481154466686</v>
      </c>
      <c r="AA257" s="6">
        <f>('TE BE'!$AB$24+'TE BF'!$AB$24+'TE CVA'!$AB$24)*(1-CUSTOS!$M$38)</f>
        <v>156.75768826917292</v>
      </c>
      <c r="AB257" s="6">
        <f>$K$257*$V$257</f>
        <v>0</v>
      </c>
      <c r="AC257" s="6">
        <f>$M$257*$W$257</f>
        <v>-786.63657999999998</v>
      </c>
      <c r="AD257" s="6">
        <f>$O$257*$X$257</f>
        <v>-329.84209999999996</v>
      </c>
      <c r="AE257" s="6">
        <f>$K$257*$Y$257</f>
        <v>0</v>
      </c>
      <c r="AF257" s="6">
        <f ca="1">$M$257*$Z$257</f>
        <v>-984.99550969713766</v>
      </c>
      <c r="AG257" s="6">
        <f>$O$257*$AA$257</f>
        <v>-316.33701492719092</v>
      </c>
    </row>
    <row r="258" spans="1:33" ht="11.25" customHeight="1" x14ac:dyDescent="0.3">
      <c r="A258" s="4" t="s">
        <v>21</v>
      </c>
      <c r="B258" s="4" t="s">
        <v>43</v>
      </c>
      <c r="C258" s="4" t="s">
        <v>23</v>
      </c>
      <c r="D258" s="4" t="s">
        <v>44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44621</v>
      </c>
      <c r="J258" s="6">
        <v>0</v>
      </c>
      <c r="K258" s="6">
        <v>0</v>
      </c>
      <c r="L258" s="6">
        <v>1703.5640000000001</v>
      </c>
      <c r="M258" s="6">
        <v>1703.5640000000001</v>
      </c>
      <c r="N258" s="6">
        <v>1703.5640000000001</v>
      </c>
      <c r="O258" s="6">
        <v>1703.5640000000001</v>
      </c>
      <c r="P258" s="6">
        <v>5664</v>
      </c>
      <c r="Q258" s="4" t="s">
        <v>26</v>
      </c>
      <c r="R258" s="4">
        <v>0</v>
      </c>
      <c r="S258" s="6">
        <v>0</v>
      </c>
      <c r="T258" s="6">
        <v>52</v>
      </c>
      <c r="U258" s="6">
        <v>9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389.81</v>
      </c>
      <c r="X258" s="6">
        <f>IF(ISERROR(VLOOKUP($U$258,'TAR FIN'!$A$1:$O$85,15,0)),0,VLOOKUP($U$258,'TAR FIN'!$A$1:$O$85,15,0))</f>
        <v>163.44999999999999</v>
      </c>
      <c r="Y258" s="6"/>
      <c r="Z258" s="6">
        <f ca="1">('TUSD BE'!$AM$33+'TUSD BF'!$AM$33+'TUSD CVA'!$AM$33)*(1-CUSTOS!$M$38)</f>
        <v>488.10481154466686</v>
      </c>
      <c r="AA258" s="6">
        <f>('TE BE'!$AB$24+'TE BF'!$AB$24+'TE CVA'!$AB$24)*(1-CUSTOS!$M$38)</f>
        <v>156.75768826917292</v>
      </c>
      <c r="AB258" s="6">
        <f>$K$258*$V$258</f>
        <v>0</v>
      </c>
      <c r="AC258" s="6">
        <f>$M$258*$W$258</f>
        <v>664066.28284</v>
      </c>
      <c r="AD258" s="6">
        <f>$O$258*$X$258</f>
        <v>278447.53580000001</v>
      </c>
      <c r="AE258" s="6">
        <f>$K$258*$Y$258</f>
        <v>0</v>
      </c>
      <c r="AF258" s="6">
        <f ca="1">$M$258*$Z$258</f>
        <v>831517.78517427889</v>
      </c>
      <c r="AG258" s="6">
        <f>$O$258*$AA$258</f>
        <v>267046.75445858529</v>
      </c>
    </row>
    <row r="259" spans="1:33" ht="11.25" customHeight="1" x14ac:dyDescent="0.3">
      <c r="A259" s="4" t="s">
        <v>27</v>
      </c>
      <c r="B259" s="4" t="s">
        <v>43</v>
      </c>
      <c r="C259" s="4" t="s">
        <v>23</v>
      </c>
      <c r="D259" s="4" t="s">
        <v>44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44621</v>
      </c>
      <c r="J259" s="6">
        <v>0</v>
      </c>
      <c r="K259" s="6">
        <v>0</v>
      </c>
      <c r="L259" s="6">
        <v>-14.714</v>
      </c>
      <c r="M259" s="6">
        <v>-14.714</v>
      </c>
      <c r="N259" s="6">
        <v>-14.714</v>
      </c>
      <c r="O259" s="6">
        <v>-14.714</v>
      </c>
      <c r="P259" s="6">
        <v>0</v>
      </c>
      <c r="Q259" s="4" t="s">
        <v>26</v>
      </c>
      <c r="R259" s="4">
        <v>0</v>
      </c>
      <c r="S259" s="6">
        <v>0</v>
      </c>
      <c r="T259" s="6">
        <v>52</v>
      </c>
      <c r="U259" s="6">
        <v>9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389.81</v>
      </c>
      <c r="X259" s="6">
        <f>IF(ISERROR(VLOOKUP($U$259,'TAR FIN'!$A$1:$O$85,15,0)),0,VLOOKUP($U$259,'TAR FIN'!$A$1:$O$85,15,0))</f>
        <v>163.44999999999999</v>
      </c>
      <c r="Y259" s="6"/>
      <c r="Z259" s="6">
        <f ca="1">('TUSD BE'!$AM$33+'TUSD BF'!$AM$33+'TUSD CVA'!$AM$33)*(1-CUSTOS!$M$38)</f>
        <v>488.10481154466686</v>
      </c>
      <c r="AA259" s="6">
        <f>('TE BE'!$AB$24+'TE BF'!$AB$24+'TE CVA'!$AB$24)*(1-CUSTOS!$M$38)</f>
        <v>156.75768826917292</v>
      </c>
      <c r="AB259" s="6">
        <f>$K$259*$V$259</f>
        <v>0</v>
      </c>
      <c r="AC259" s="6">
        <f>$M$259*$W$259</f>
        <v>-5735.6643400000003</v>
      </c>
      <c r="AD259" s="6">
        <f>$O$259*$X$259</f>
        <v>-2405.0032999999999</v>
      </c>
      <c r="AE259" s="6">
        <f>$K$259*$Y$259</f>
        <v>0</v>
      </c>
      <c r="AF259" s="6">
        <f ca="1">$M$259*$Z$259</f>
        <v>-7181.974197068228</v>
      </c>
      <c r="AG259" s="6">
        <f>$O$259*$AA$259</f>
        <v>-2306.5326251926103</v>
      </c>
    </row>
    <row r="260" spans="1:33" ht="11.25" customHeight="1" x14ac:dyDescent="0.3">
      <c r="A260" s="4" t="s">
        <v>28</v>
      </c>
      <c r="B260" s="4" t="s">
        <v>43</v>
      </c>
      <c r="C260" s="4" t="s">
        <v>23</v>
      </c>
      <c r="D260" s="4" t="s">
        <v>44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44621</v>
      </c>
      <c r="J260" s="6">
        <v>0</v>
      </c>
      <c r="K260" s="6">
        <v>0</v>
      </c>
      <c r="L260" s="6">
        <v>29.56</v>
      </c>
      <c r="M260" s="6">
        <v>29.56</v>
      </c>
      <c r="N260" s="6">
        <v>29.56</v>
      </c>
      <c r="O260" s="6">
        <v>29.56</v>
      </c>
      <c r="P260" s="6">
        <v>140</v>
      </c>
      <c r="Q260" s="4" t="s">
        <v>26</v>
      </c>
      <c r="R260" s="4">
        <v>0</v>
      </c>
      <c r="S260" s="6">
        <v>0</v>
      </c>
      <c r="T260" s="6">
        <v>52</v>
      </c>
      <c r="U260" s="6">
        <v>9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389.81</v>
      </c>
      <c r="X260" s="6">
        <f>IF(ISERROR(VLOOKUP($U$260,'TAR FIN'!$A$1:$O$85,15,0)),0,VLOOKUP($U$260,'TAR FIN'!$A$1:$O$85,15,0))</f>
        <v>163.44999999999999</v>
      </c>
      <c r="Y260" s="6"/>
      <c r="Z260" s="6">
        <f ca="1">('TUSD BE'!$AM$33+'TUSD BF'!$AM$33+'TUSD CVA'!$AM$33)*(1-CUSTOS!$M$38)</f>
        <v>488.10481154466686</v>
      </c>
      <c r="AA260" s="6">
        <f>('TE BE'!$AB$24+'TE BF'!$AB$24+'TE CVA'!$AB$24)*(1-CUSTOS!$M$38)</f>
        <v>156.75768826917292</v>
      </c>
      <c r="AB260" s="6">
        <f>$K$260*$V$260</f>
        <v>0</v>
      </c>
      <c r="AC260" s="6">
        <f>$M$260*$W$260</f>
        <v>11522.783599999999</v>
      </c>
      <c r="AD260" s="6">
        <f>$O$260*$X$260</f>
        <v>4831.5819999999994</v>
      </c>
      <c r="AE260" s="6">
        <f>$K$260*$Y$260</f>
        <v>0</v>
      </c>
      <c r="AF260" s="6">
        <f ca="1">$M$260*$Z$260</f>
        <v>14428.378229260352</v>
      </c>
      <c r="AG260" s="6">
        <f>$O$260*$AA$260</f>
        <v>4633.7572652367517</v>
      </c>
    </row>
    <row r="261" spans="1:33" ht="11.25" customHeight="1" x14ac:dyDescent="0.3">
      <c r="A261" s="4" t="s">
        <v>21</v>
      </c>
      <c r="B261" s="4" t="s">
        <v>43</v>
      </c>
      <c r="C261" s="4" t="s">
        <v>23</v>
      </c>
      <c r="D261" s="4" t="s">
        <v>44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44652</v>
      </c>
      <c r="J261" s="6">
        <v>0</v>
      </c>
      <c r="K261" s="6">
        <v>0</v>
      </c>
      <c r="L261" s="6">
        <v>1461.453</v>
      </c>
      <c r="M261" s="6">
        <v>1461.453</v>
      </c>
      <c r="N261" s="6">
        <v>1461.453</v>
      </c>
      <c r="O261" s="6">
        <v>1461.453</v>
      </c>
      <c r="P261" s="6">
        <v>5631</v>
      </c>
      <c r="Q261" s="4" t="s">
        <v>26</v>
      </c>
      <c r="R261" s="4">
        <v>0</v>
      </c>
      <c r="S261" s="6">
        <v>0</v>
      </c>
      <c r="T261" s="6">
        <v>52</v>
      </c>
      <c r="U261" s="6">
        <v>9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389.81</v>
      </c>
      <c r="X261" s="6">
        <f>IF(ISERROR(VLOOKUP($U$261,'TAR FIN'!$A$1:$O$85,15,0)),0,VLOOKUP($U$261,'TAR FIN'!$A$1:$O$85,15,0))</f>
        <v>163.44999999999999</v>
      </c>
      <c r="Y261" s="6"/>
      <c r="Z261" s="6">
        <f ca="1">('TUSD BE'!$AM$33+'TUSD BF'!$AM$33+'TUSD CVA'!$AM$33)*(1-CUSTOS!$M$38)</f>
        <v>488.10481154466686</v>
      </c>
      <c r="AA261" s="6">
        <f>('TE BE'!$AB$24+'TE BF'!$AB$24+'TE CVA'!$AB$24)*(1-CUSTOS!$M$38)</f>
        <v>156.75768826917292</v>
      </c>
      <c r="AB261" s="6">
        <f>$K$261*$V$261</f>
        <v>0</v>
      </c>
      <c r="AC261" s="6">
        <f>$M$261*$W$261</f>
        <v>569688.99393</v>
      </c>
      <c r="AD261" s="6">
        <f>$O$261*$X$261</f>
        <v>238874.49284999998</v>
      </c>
      <c r="AE261" s="6">
        <f>$K$261*$Y$261</f>
        <v>0</v>
      </c>
      <c r="AF261" s="6">
        <f ca="1">$M$261*$Z$261</f>
        <v>713342.241146388</v>
      </c>
      <c r="AG261" s="6">
        <f>$O$261*$AA$261</f>
        <v>229093.99379404756</v>
      </c>
    </row>
    <row r="262" spans="1:33" ht="11.25" customHeight="1" x14ac:dyDescent="0.3">
      <c r="A262" s="4" t="s">
        <v>27</v>
      </c>
      <c r="B262" s="4" t="s">
        <v>43</v>
      </c>
      <c r="C262" s="4" t="s">
        <v>23</v>
      </c>
      <c r="D262" s="4" t="s">
        <v>44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44652</v>
      </c>
      <c r="J262" s="6">
        <v>0</v>
      </c>
      <c r="K262" s="6">
        <v>0</v>
      </c>
      <c r="L262" s="6">
        <v>-0.51600000000000001</v>
      </c>
      <c r="M262" s="6">
        <v>-0.51600000000000001</v>
      </c>
      <c r="N262" s="6">
        <v>-0.51600000000000001</v>
      </c>
      <c r="O262" s="6">
        <v>-0.51600000000000001</v>
      </c>
      <c r="P262" s="6">
        <v>0</v>
      </c>
      <c r="Q262" s="4" t="s">
        <v>26</v>
      </c>
      <c r="R262" s="4">
        <v>0</v>
      </c>
      <c r="S262" s="6">
        <v>0</v>
      </c>
      <c r="T262" s="6">
        <v>52</v>
      </c>
      <c r="U262" s="6">
        <v>9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389.81</v>
      </c>
      <c r="X262" s="6">
        <f>IF(ISERROR(VLOOKUP($U$262,'TAR FIN'!$A$1:$O$85,15,0)),0,VLOOKUP($U$262,'TAR FIN'!$A$1:$O$85,15,0))</f>
        <v>163.44999999999999</v>
      </c>
      <c r="Y262" s="6"/>
      <c r="Z262" s="6">
        <f ca="1">('TUSD BE'!$AM$33+'TUSD BF'!$AM$33+'TUSD CVA'!$AM$33)*(1-CUSTOS!$M$38)</f>
        <v>488.10481154466686</v>
      </c>
      <c r="AA262" s="6">
        <f>('TE BE'!$AB$24+'TE BF'!$AB$24+'TE CVA'!$AB$24)*(1-CUSTOS!$M$38)</f>
        <v>156.75768826917292</v>
      </c>
      <c r="AB262" s="6">
        <f>$K$262*$V$262</f>
        <v>0</v>
      </c>
      <c r="AC262" s="6">
        <f>$M$262*$W$262</f>
        <v>-201.14196000000001</v>
      </c>
      <c r="AD262" s="6">
        <f>$O$262*$X$262</f>
        <v>-84.340199999999996</v>
      </c>
      <c r="AE262" s="6">
        <f>$K$262*$Y$262</f>
        <v>0</v>
      </c>
      <c r="AF262" s="6">
        <f ca="1">$M$262*$Z$262</f>
        <v>-251.86208275704811</v>
      </c>
      <c r="AG262" s="6">
        <f>$O$262*$AA$262</f>
        <v>-80.886967146893227</v>
      </c>
    </row>
    <row r="263" spans="1:33" ht="11.25" customHeight="1" x14ac:dyDescent="0.3">
      <c r="A263" s="4" t="s">
        <v>28</v>
      </c>
      <c r="B263" s="4" t="s">
        <v>43</v>
      </c>
      <c r="C263" s="4" t="s">
        <v>23</v>
      </c>
      <c r="D263" s="4" t="s">
        <v>44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44652</v>
      </c>
      <c r="J263" s="6">
        <v>0</v>
      </c>
      <c r="K263" s="6">
        <v>0</v>
      </c>
      <c r="L263" s="6">
        <v>30.376999999999999</v>
      </c>
      <c r="M263" s="6">
        <v>30.376999999999999</v>
      </c>
      <c r="N263" s="6">
        <v>30.376999999999999</v>
      </c>
      <c r="O263" s="6">
        <v>30.376999999999999</v>
      </c>
      <c r="P263" s="6">
        <v>160</v>
      </c>
      <c r="Q263" s="4" t="s">
        <v>26</v>
      </c>
      <c r="R263" s="4">
        <v>0</v>
      </c>
      <c r="S263" s="6">
        <v>0</v>
      </c>
      <c r="T263" s="6">
        <v>52</v>
      </c>
      <c r="U263" s="6">
        <v>9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389.81</v>
      </c>
      <c r="X263" s="6">
        <f>IF(ISERROR(VLOOKUP($U$263,'TAR FIN'!$A$1:$O$85,15,0)),0,VLOOKUP($U$263,'TAR FIN'!$A$1:$O$85,15,0))</f>
        <v>163.44999999999999</v>
      </c>
      <c r="Y263" s="6"/>
      <c r="Z263" s="6">
        <f ca="1">('TUSD BE'!$AM$33+'TUSD BF'!$AM$33+'TUSD CVA'!$AM$33)*(1-CUSTOS!$M$38)</f>
        <v>488.10481154466686</v>
      </c>
      <c r="AA263" s="6">
        <f>('TE BE'!$AB$24+'TE BF'!$AB$24+'TE CVA'!$AB$24)*(1-CUSTOS!$M$38)</f>
        <v>156.75768826917292</v>
      </c>
      <c r="AB263" s="6">
        <f>$K$263*$V$263</f>
        <v>0</v>
      </c>
      <c r="AC263" s="6">
        <f>$M$263*$W$263</f>
        <v>11841.25837</v>
      </c>
      <c r="AD263" s="6">
        <f>$O$263*$X$263</f>
        <v>4965.1206499999998</v>
      </c>
      <c r="AE263" s="6">
        <f>$K$263*$Y$263</f>
        <v>0</v>
      </c>
      <c r="AF263" s="6">
        <f ca="1">$M$263*$Z$263</f>
        <v>14827.159860292344</v>
      </c>
      <c r="AG263" s="6">
        <f>$O$263*$AA$263</f>
        <v>4761.828296552666</v>
      </c>
    </row>
    <row r="264" spans="1:33" ht="11.25" customHeight="1" x14ac:dyDescent="0.3">
      <c r="A264" s="4" t="s">
        <v>28</v>
      </c>
      <c r="B264" s="4" t="s">
        <v>43</v>
      </c>
      <c r="C264" s="4" t="s">
        <v>23</v>
      </c>
      <c r="D264" s="4" t="s">
        <v>44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44652</v>
      </c>
      <c r="J264" s="6">
        <v>0</v>
      </c>
      <c r="K264" s="6">
        <v>0</v>
      </c>
      <c r="L264" s="6">
        <v>12.362</v>
      </c>
      <c r="M264" s="6">
        <v>12.362</v>
      </c>
      <c r="N264" s="6">
        <v>12.362</v>
      </c>
      <c r="O264" s="6">
        <v>12.362</v>
      </c>
      <c r="P264" s="6">
        <v>1</v>
      </c>
      <c r="Q264" s="4" t="s">
        <v>26</v>
      </c>
      <c r="R264" s="4">
        <v>0</v>
      </c>
      <c r="S264" s="6">
        <v>0</v>
      </c>
      <c r="T264" s="6">
        <v>52</v>
      </c>
      <c r="U264" s="6">
        <v>9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389.81</v>
      </c>
      <c r="X264" s="6">
        <f>IF(ISERROR(VLOOKUP($U$264,'TAR FIN'!$A$1:$O$85,15,0)),0,VLOOKUP($U$264,'TAR FIN'!$A$1:$O$85,15,0))</f>
        <v>163.44999999999999</v>
      </c>
      <c r="Y264" s="6"/>
      <c r="Z264" s="6">
        <f ca="1">('TUSD BE'!$AM$33+'TUSD BF'!$AM$33+'TUSD CVA'!$AM$33)*(1-CUSTOS!$M$38)</f>
        <v>488.10481154466686</v>
      </c>
      <c r="AA264" s="6">
        <f>('TE BE'!$AB$24+'TE BF'!$AB$24+'TE CVA'!$AB$24)*(1-CUSTOS!$M$38)</f>
        <v>156.75768826917292</v>
      </c>
      <c r="AB264" s="6">
        <f>$K$264*$V$264</f>
        <v>0</v>
      </c>
      <c r="AC264" s="6">
        <f>$M$264*$W$264</f>
        <v>4818.83122</v>
      </c>
      <c r="AD264" s="6">
        <f>$O$264*$X$264</f>
        <v>2020.5689</v>
      </c>
      <c r="AE264" s="6">
        <f>$K$264*$Y$264</f>
        <v>0</v>
      </c>
      <c r="AF264" s="6">
        <f ca="1">$M$264*$Z$264</f>
        <v>6033.9516803151719</v>
      </c>
      <c r="AG264" s="6">
        <f>$O$264*$AA$264</f>
        <v>1937.8385423835157</v>
      </c>
    </row>
    <row r="265" spans="1:33" ht="11.25" customHeight="1" x14ac:dyDescent="0.3">
      <c r="A265" s="4" t="s">
        <v>21</v>
      </c>
      <c r="B265" s="4" t="s">
        <v>43</v>
      </c>
      <c r="C265" s="4" t="s">
        <v>23</v>
      </c>
      <c r="D265" s="4" t="s">
        <v>44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44682</v>
      </c>
      <c r="J265" s="6">
        <v>0</v>
      </c>
      <c r="K265" s="6">
        <v>0</v>
      </c>
      <c r="L265" s="6">
        <v>1347.9069999999999</v>
      </c>
      <c r="M265" s="6">
        <v>1347.9069999999999</v>
      </c>
      <c r="N265" s="6">
        <v>1347.9069999999999</v>
      </c>
      <c r="O265" s="6">
        <v>1347.9069999999999</v>
      </c>
      <c r="P265" s="6">
        <v>5614</v>
      </c>
      <c r="Q265" s="4" t="s">
        <v>26</v>
      </c>
      <c r="R265" s="4">
        <v>0</v>
      </c>
      <c r="S265" s="6">
        <v>0</v>
      </c>
      <c r="T265" s="6">
        <v>52</v>
      </c>
      <c r="U265" s="6">
        <v>9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389.81</v>
      </c>
      <c r="X265" s="6">
        <f>IF(ISERROR(VLOOKUP($U$265,'TAR FIN'!$A$1:$O$85,15,0)),0,VLOOKUP($U$265,'TAR FIN'!$A$1:$O$85,15,0))</f>
        <v>163.44999999999999</v>
      </c>
      <c r="Y265" s="6"/>
      <c r="Z265" s="6">
        <f ca="1">('TUSD BE'!$AM$33+'TUSD BF'!$AM$33+'TUSD CVA'!$AM$33)*(1-CUSTOS!$M$38)</f>
        <v>488.10481154466686</v>
      </c>
      <c r="AA265" s="6">
        <f>('TE BE'!$AB$24+'TE BF'!$AB$24+'TE CVA'!$AB$24)*(1-CUSTOS!$M$38)</f>
        <v>156.75768826917292</v>
      </c>
      <c r="AB265" s="6">
        <f>$K$265*$V$265</f>
        <v>0</v>
      </c>
      <c r="AC265" s="6">
        <f>$M$265*$W$265</f>
        <v>525427.62766999996</v>
      </c>
      <c r="AD265" s="6">
        <f>$O$265*$X$265</f>
        <v>220315.39914999998</v>
      </c>
      <c r="AE265" s="6">
        <f>$K$265*$Y$265</f>
        <v>0</v>
      </c>
      <c r="AF265" s="6">
        <f ca="1">$M$265*$Z$265</f>
        <v>657919.89221473725</v>
      </c>
      <c r="AG265" s="6">
        <f>$O$265*$AA$265</f>
        <v>211294.78532183604</v>
      </c>
    </row>
    <row r="266" spans="1:33" ht="11.25" customHeight="1" x14ac:dyDescent="0.3">
      <c r="A266" s="4" t="s">
        <v>27</v>
      </c>
      <c r="B266" s="4" t="s">
        <v>43</v>
      </c>
      <c r="C266" s="4" t="s">
        <v>23</v>
      </c>
      <c r="D266" s="4" t="s">
        <v>44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44682</v>
      </c>
      <c r="J266" s="6">
        <v>0</v>
      </c>
      <c r="K266" s="6">
        <v>0</v>
      </c>
      <c r="L266" s="6">
        <v>-1.5860000000000001</v>
      </c>
      <c r="M266" s="6">
        <v>-1.5860000000000001</v>
      </c>
      <c r="N266" s="6">
        <v>-1.5860000000000001</v>
      </c>
      <c r="O266" s="6">
        <v>-1.5860000000000001</v>
      </c>
      <c r="P266" s="6">
        <v>0</v>
      </c>
      <c r="Q266" s="4" t="s">
        <v>26</v>
      </c>
      <c r="R266" s="4">
        <v>0</v>
      </c>
      <c r="S266" s="6">
        <v>0</v>
      </c>
      <c r="T266" s="6">
        <v>52</v>
      </c>
      <c r="U266" s="6">
        <v>9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389.81</v>
      </c>
      <c r="X266" s="6">
        <f>IF(ISERROR(VLOOKUP($U$266,'TAR FIN'!$A$1:$O$85,15,0)),0,VLOOKUP($U$266,'TAR FIN'!$A$1:$O$85,15,0))</f>
        <v>163.44999999999999</v>
      </c>
      <c r="Y266" s="6"/>
      <c r="Z266" s="6">
        <f ca="1">('TUSD BE'!$AM$33+'TUSD BF'!$AM$33+'TUSD CVA'!$AM$33)*(1-CUSTOS!$M$38)</f>
        <v>488.10481154466686</v>
      </c>
      <c r="AA266" s="6">
        <f>('TE BE'!$AB$24+'TE BF'!$AB$24+'TE CVA'!$AB$24)*(1-CUSTOS!$M$38)</f>
        <v>156.75768826917292</v>
      </c>
      <c r="AB266" s="6">
        <f>$K$266*$V$266</f>
        <v>0</v>
      </c>
      <c r="AC266" s="6">
        <f>$M$266*$W$266</f>
        <v>-618.23865999999998</v>
      </c>
      <c r="AD266" s="6">
        <f>$O$266*$X$266</f>
        <v>-259.23169999999999</v>
      </c>
      <c r="AE266" s="6">
        <f>$K$266*$Y$266</f>
        <v>0</v>
      </c>
      <c r="AF266" s="6">
        <f ca="1">$M$266*$Z$266</f>
        <v>-774.13423110984172</v>
      </c>
      <c r="AG266" s="6">
        <f>$O$266*$AA$266</f>
        <v>-248.61769359490825</v>
      </c>
    </row>
    <row r="267" spans="1:33" ht="11.25" customHeight="1" x14ac:dyDescent="0.3">
      <c r="A267" s="4" t="s">
        <v>28</v>
      </c>
      <c r="B267" s="4" t="s">
        <v>43</v>
      </c>
      <c r="C267" s="4" t="s">
        <v>23</v>
      </c>
      <c r="D267" s="4" t="s">
        <v>44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44682</v>
      </c>
      <c r="J267" s="6">
        <v>0</v>
      </c>
      <c r="K267" s="6">
        <v>0</v>
      </c>
      <c r="L267" s="6">
        <v>46.774999999999999</v>
      </c>
      <c r="M267" s="6">
        <v>46.774999999999999</v>
      </c>
      <c r="N267" s="6">
        <v>46.774999999999999</v>
      </c>
      <c r="O267" s="6">
        <v>46.774999999999999</v>
      </c>
      <c r="P267" s="6">
        <v>170</v>
      </c>
      <c r="Q267" s="4" t="s">
        <v>26</v>
      </c>
      <c r="R267" s="4">
        <v>0</v>
      </c>
      <c r="S267" s="6">
        <v>0</v>
      </c>
      <c r="T267" s="6">
        <v>52</v>
      </c>
      <c r="U267" s="6">
        <v>9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389.81</v>
      </c>
      <c r="X267" s="6">
        <f>IF(ISERROR(VLOOKUP($U$267,'TAR FIN'!$A$1:$O$85,15,0)),0,VLOOKUP($U$267,'TAR FIN'!$A$1:$O$85,15,0))</f>
        <v>163.44999999999999</v>
      </c>
      <c r="Y267" s="6"/>
      <c r="Z267" s="6">
        <f ca="1">('TUSD BE'!$AM$33+'TUSD BF'!$AM$33+'TUSD CVA'!$AM$33)*(1-CUSTOS!$M$38)</f>
        <v>488.10481154466686</v>
      </c>
      <c r="AA267" s="6">
        <f>('TE BE'!$AB$24+'TE BF'!$AB$24+'TE CVA'!$AB$24)*(1-CUSTOS!$M$38)</f>
        <v>156.75768826917292</v>
      </c>
      <c r="AB267" s="6">
        <f>$K$267*$V$267</f>
        <v>0</v>
      </c>
      <c r="AC267" s="6">
        <f>$M$267*$W$267</f>
        <v>18233.36275</v>
      </c>
      <c r="AD267" s="6">
        <f>$O$267*$X$267</f>
        <v>7645.3737499999988</v>
      </c>
      <c r="AE267" s="6">
        <f>$K$267*$Y$267</f>
        <v>0</v>
      </c>
      <c r="AF267" s="6">
        <f ca="1">$M$267*$Z$267</f>
        <v>22831.102560001793</v>
      </c>
      <c r="AG267" s="6">
        <f>$O$267*$AA$267</f>
        <v>7332.340868790563</v>
      </c>
    </row>
    <row r="268" spans="1:33" ht="11.25" customHeight="1" x14ac:dyDescent="0.3">
      <c r="A268" s="4" t="s">
        <v>28</v>
      </c>
      <c r="B268" s="4" t="s">
        <v>43</v>
      </c>
      <c r="C268" s="4" t="s">
        <v>23</v>
      </c>
      <c r="D268" s="4" t="s">
        <v>44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44682</v>
      </c>
      <c r="J268" s="6">
        <v>0</v>
      </c>
      <c r="K268" s="6">
        <v>0</v>
      </c>
      <c r="L268" s="6">
        <v>15.874000000000001</v>
      </c>
      <c r="M268" s="6">
        <v>15.874000000000001</v>
      </c>
      <c r="N268" s="6">
        <v>15.874000000000001</v>
      </c>
      <c r="O268" s="6">
        <v>15.874000000000001</v>
      </c>
      <c r="P268" s="6">
        <v>7</v>
      </c>
      <c r="Q268" s="4" t="s">
        <v>26</v>
      </c>
      <c r="R268" s="4">
        <v>0</v>
      </c>
      <c r="S268" s="6">
        <v>0</v>
      </c>
      <c r="T268" s="6">
        <v>52</v>
      </c>
      <c r="U268" s="6">
        <v>9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389.81</v>
      </c>
      <c r="X268" s="6">
        <f>IF(ISERROR(VLOOKUP($U$268,'TAR FIN'!$A$1:$O$85,15,0)),0,VLOOKUP($U$268,'TAR FIN'!$A$1:$O$85,15,0))</f>
        <v>163.44999999999999</v>
      </c>
      <c r="Y268" s="6"/>
      <c r="Z268" s="6">
        <f ca="1">('TUSD BE'!$AM$33+'TUSD BF'!$AM$33+'TUSD CVA'!$AM$33)*(1-CUSTOS!$M$38)</f>
        <v>488.10481154466686</v>
      </c>
      <c r="AA268" s="6">
        <f>('TE BE'!$AB$24+'TE BF'!$AB$24+'TE CVA'!$AB$24)*(1-CUSTOS!$M$38)</f>
        <v>156.75768826917292</v>
      </c>
      <c r="AB268" s="6">
        <f>$K$268*$V$268</f>
        <v>0</v>
      </c>
      <c r="AC268" s="6">
        <f>$M$268*$W$268</f>
        <v>6187.8439400000007</v>
      </c>
      <c r="AD268" s="6">
        <f>$O$268*$X$268</f>
        <v>2594.6052999999997</v>
      </c>
      <c r="AE268" s="6">
        <f>$K$268*$Y$268</f>
        <v>0</v>
      </c>
      <c r="AF268" s="6">
        <f ca="1">$M$268*$Z$268</f>
        <v>7748.1757784600422</v>
      </c>
      <c r="AG268" s="6">
        <f>$O$268*$AA$268</f>
        <v>2488.3715435848508</v>
      </c>
    </row>
    <row r="269" spans="1:33" ht="11.25" customHeight="1" x14ac:dyDescent="0.3">
      <c r="A269" s="4" t="s">
        <v>21</v>
      </c>
      <c r="B269" s="4" t="s">
        <v>43</v>
      </c>
      <c r="C269" s="4" t="s">
        <v>23</v>
      </c>
      <c r="D269" s="4" t="s">
        <v>44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44713</v>
      </c>
      <c r="J269" s="6">
        <v>0</v>
      </c>
      <c r="K269" s="6">
        <v>0</v>
      </c>
      <c r="L269" s="6">
        <v>1366.492</v>
      </c>
      <c r="M269" s="6">
        <v>1366.492</v>
      </c>
      <c r="N269" s="6">
        <v>1366.492</v>
      </c>
      <c r="O269" s="6">
        <v>1366.492</v>
      </c>
      <c r="P269" s="6">
        <v>5593</v>
      </c>
      <c r="Q269" s="4" t="s">
        <v>26</v>
      </c>
      <c r="R269" s="4">
        <v>0</v>
      </c>
      <c r="S269" s="6">
        <v>0</v>
      </c>
      <c r="T269" s="6">
        <v>52</v>
      </c>
      <c r="U269" s="6">
        <v>9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389.81</v>
      </c>
      <c r="X269" s="6">
        <f>IF(ISERROR(VLOOKUP($U$269,'TAR FIN'!$A$1:$O$85,15,0)),0,VLOOKUP($U$269,'TAR FIN'!$A$1:$O$85,15,0))</f>
        <v>163.44999999999999</v>
      </c>
      <c r="Y269" s="6"/>
      <c r="Z269" s="6">
        <f ca="1">('TUSD BE'!$AM$33+'TUSD BF'!$AM$33+'TUSD CVA'!$AM$33)*(1-CUSTOS!$M$38)</f>
        <v>488.10481154466686</v>
      </c>
      <c r="AA269" s="6">
        <f>('TE BE'!$AB$24+'TE BF'!$AB$24+'TE CVA'!$AB$24)*(1-CUSTOS!$M$38)</f>
        <v>156.75768826917292</v>
      </c>
      <c r="AB269" s="6">
        <f>$K$269*$V$269</f>
        <v>0</v>
      </c>
      <c r="AC269" s="6">
        <f>$M$269*$W$269</f>
        <v>532672.24652000004</v>
      </c>
      <c r="AD269" s="6">
        <f>$O$269*$X$269</f>
        <v>223353.11739999999</v>
      </c>
      <c r="AE269" s="6">
        <f>$K$269*$Y$269</f>
        <v>0</v>
      </c>
      <c r="AF269" s="6">
        <f ca="1">$M$269*$Z$269</f>
        <v>666991.32013729494</v>
      </c>
      <c r="AG269" s="6">
        <f>$O$269*$AA$269</f>
        <v>214208.12695831864</v>
      </c>
    </row>
    <row r="270" spans="1:33" ht="11.25" customHeight="1" x14ac:dyDescent="0.3">
      <c r="A270" s="4" t="s">
        <v>27</v>
      </c>
      <c r="B270" s="4" t="s">
        <v>43</v>
      </c>
      <c r="C270" s="4" t="s">
        <v>23</v>
      </c>
      <c r="D270" s="4" t="s">
        <v>44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44713</v>
      </c>
      <c r="J270" s="6">
        <v>0</v>
      </c>
      <c r="K270" s="6">
        <v>0</v>
      </c>
      <c r="L270" s="6">
        <v>-0.187</v>
      </c>
      <c r="M270" s="6">
        <v>-0.187</v>
      </c>
      <c r="N270" s="6">
        <v>-0.187</v>
      </c>
      <c r="O270" s="6">
        <v>-0.187</v>
      </c>
      <c r="P270" s="6">
        <v>0</v>
      </c>
      <c r="Q270" s="4" t="s">
        <v>26</v>
      </c>
      <c r="R270" s="4">
        <v>0</v>
      </c>
      <c r="S270" s="6">
        <v>0</v>
      </c>
      <c r="T270" s="6">
        <v>52</v>
      </c>
      <c r="U270" s="6">
        <v>9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389.81</v>
      </c>
      <c r="X270" s="6">
        <f>IF(ISERROR(VLOOKUP($U$270,'TAR FIN'!$A$1:$O$85,15,0)),0,VLOOKUP($U$270,'TAR FIN'!$A$1:$O$85,15,0))</f>
        <v>163.44999999999999</v>
      </c>
      <c r="Y270" s="6"/>
      <c r="Z270" s="6">
        <f ca="1">('TUSD BE'!$AM$33+'TUSD BF'!$AM$33+'TUSD CVA'!$AM$33)*(1-CUSTOS!$M$38)</f>
        <v>488.10481154466686</v>
      </c>
      <c r="AA270" s="6">
        <f>('TE BE'!$AB$24+'TE BF'!$AB$24+'TE CVA'!$AB$24)*(1-CUSTOS!$M$38)</f>
        <v>156.75768826917292</v>
      </c>
      <c r="AB270" s="6">
        <f>$K$270*$V$270</f>
        <v>0</v>
      </c>
      <c r="AC270" s="6">
        <f>$M$270*$W$270</f>
        <v>-72.894469999999998</v>
      </c>
      <c r="AD270" s="6">
        <f>$O$270*$X$270</f>
        <v>-30.565149999999999</v>
      </c>
      <c r="AE270" s="6">
        <f>$K$270*$Y$270</f>
        <v>0</v>
      </c>
      <c r="AF270" s="6">
        <f ca="1">$M$270*$Z$270</f>
        <v>-91.275599758852707</v>
      </c>
      <c r="AG270" s="6">
        <f>$O$270*$AA$270</f>
        <v>-29.313687706335337</v>
      </c>
    </row>
    <row r="271" spans="1:33" ht="11.25" customHeight="1" x14ac:dyDescent="0.3">
      <c r="A271" s="4" t="s">
        <v>21</v>
      </c>
      <c r="B271" s="4" t="s">
        <v>43</v>
      </c>
      <c r="C271" s="4" t="s">
        <v>23</v>
      </c>
      <c r="D271" s="4" t="s">
        <v>44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44743</v>
      </c>
      <c r="J271" s="6">
        <v>0</v>
      </c>
      <c r="K271" s="6">
        <v>0</v>
      </c>
      <c r="L271" s="6">
        <v>1206.8920000000001</v>
      </c>
      <c r="M271" s="6">
        <v>1206.8920000000001</v>
      </c>
      <c r="N271" s="6">
        <v>1206.8920000000001</v>
      </c>
      <c r="O271" s="6">
        <v>1206.8920000000001</v>
      </c>
      <c r="P271" s="6">
        <v>5577</v>
      </c>
      <c r="Q271" s="4" t="s">
        <v>26</v>
      </c>
      <c r="R271" s="4">
        <v>0</v>
      </c>
      <c r="S271" s="6">
        <v>0</v>
      </c>
      <c r="T271" s="6">
        <v>52</v>
      </c>
      <c r="U271" s="6">
        <v>9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389.81</v>
      </c>
      <c r="X271" s="6">
        <f>IF(ISERROR(VLOOKUP($U$271,'TAR FIN'!$A$1:$O$85,15,0)),0,VLOOKUP($U$271,'TAR FIN'!$A$1:$O$85,15,0))</f>
        <v>163.44999999999999</v>
      </c>
      <c r="Y271" s="6"/>
      <c r="Z271" s="6">
        <f ca="1">('TUSD BE'!$AM$33+'TUSD BF'!$AM$33+'TUSD CVA'!$AM$33)*(1-CUSTOS!$M$38)</f>
        <v>488.10481154466686</v>
      </c>
      <c r="AA271" s="6">
        <f>('TE BE'!$AB$24+'TE BF'!$AB$24+'TE CVA'!$AB$24)*(1-CUSTOS!$M$38)</f>
        <v>156.75768826917292</v>
      </c>
      <c r="AB271" s="6">
        <f>$K$271*$V$271</f>
        <v>0</v>
      </c>
      <c r="AC271" s="6">
        <f>$M$271*$W$271</f>
        <v>470458.57052000001</v>
      </c>
      <c r="AD271" s="6">
        <f>$O$271*$X$271</f>
        <v>197266.49739999999</v>
      </c>
      <c r="AE271" s="6">
        <f>$K$271*$Y$271</f>
        <v>0</v>
      </c>
      <c r="AF271" s="6">
        <f ca="1">$M$271*$Z$271</f>
        <v>589089.79221476614</v>
      </c>
      <c r="AG271" s="6">
        <f>$O$271*$AA$271</f>
        <v>189189.59991055864</v>
      </c>
    </row>
    <row r="272" spans="1:33" ht="11.25" customHeight="1" x14ac:dyDescent="0.3">
      <c r="A272" s="4" t="s">
        <v>27</v>
      </c>
      <c r="B272" s="4" t="s">
        <v>43</v>
      </c>
      <c r="C272" s="4" t="s">
        <v>23</v>
      </c>
      <c r="D272" s="4" t="s">
        <v>44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44743</v>
      </c>
      <c r="J272" s="6">
        <v>0</v>
      </c>
      <c r="K272" s="6">
        <v>0</v>
      </c>
      <c r="L272" s="6">
        <v>-0.32800000000000001</v>
      </c>
      <c r="M272" s="6">
        <v>-0.32800000000000001</v>
      </c>
      <c r="N272" s="6">
        <v>-0.32800000000000001</v>
      </c>
      <c r="O272" s="6">
        <v>-0.32800000000000001</v>
      </c>
      <c r="P272" s="6">
        <v>0</v>
      </c>
      <c r="Q272" s="4" t="s">
        <v>26</v>
      </c>
      <c r="R272" s="4">
        <v>0</v>
      </c>
      <c r="S272" s="6">
        <v>0</v>
      </c>
      <c r="T272" s="6">
        <v>52</v>
      </c>
      <c r="U272" s="6">
        <v>9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389.81</v>
      </c>
      <c r="X272" s="6">
        <f>IF(ISERROR(VLOOKUP($U$272,'TAR FIN'!$A$1:$O$85,15,0)),0,VLOOKUP($U$272,'TAR FIN'!$A$1:$O$85,15,0))</f>
        <v>163.44999999999999</v>
      </c>
      <c r="Y272" s="6"/>
      <c r="Z272" s="6">
        <f ca="1">('TUSD BE'!$AM$33+'TUSD BF'!$AM$33+'TUSD CVA'!$AM$33)*(1-CUSTOS!$M$38)</f>
        <v>488.10481154466686</v>
      </c>
      <c r="AA272" s="6">
        <f>('TE BE'!$AB$24+'TE BF'!$AB$24+'TE CVA'!$AB$24)*(1-CUSTOS!$M$38)</f>
        <v>156.75768826917292</v>
      </c>
      <c r="AB272" s="6">
        <f>$K$272*$V$272</f>
        <v>0</v>
      </c>
      <c r="AC272" s="6">
        <f>$M$272*$W$272</f>
        <v>-127.85768</v>
      </c>
      <c r="AD272" s="6">
        <f>$O$272*$X$272</f>
        <v>-53.611599999999996</v>
      </c>
      <c r="AE272" s="6">
        <f>$K$272*$Y$272</f>
        <v>0</v>
      </c>
      <c r="AF272" s="6">
        <f ca="1">$M$272*$Z$272</f>
        <v>-160.09837818665073</v>
      </c>
      <c r="AG272" s="6">
        <f>$O$272*$AA$272</f>
        <v>-51.416521752288716</v>
      </c>
    </row>
    <row r="273" spans="1:33" ht="11.25" customHeight="1" x14ac:dyDescent="0.3">
      <c r="A273" s="4" t="s">
        <v>28</v>
      </c>
      <c r="B273" s="4" t="s">
        <v>43</v>
      </c>
      <c r="C273" s="4" t="s">
        <v>23</v>
      </c>
      <c r="D273" s="4" t="s">
        <v>44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44743</v>
      </c>
      <c r="J273" s="6">
        <v>0</v>
      </c>
      <c r="K273" s="6">
        <v>0</v>
      </c>
      <c r="L273" s="6">
        <v>46.091999999999999</v>
      </c>
      <c r="M273" s="6">
        <v>46.091999999999999</v>
      </c>
      <c r="N273" s="6">
        <v>46.091999999999999</v>
      </c>
      <c r="O273" s="6">
        <v>46.091999999999999</v>
      </c>
      <c r="P273" s="6">
        <v>188</v>
      </c>
      <c r="Q273" s="4" t="s">
        <v>26</v>
      </c>
      <c r="R273" s="4">
        <v>0</v>
      </c>
      <c r="S273" s="6">
        <v>0</v>
      </c>
      <c r="T273" s="6">
        <v>52</v>
      </c>
      <c r="U273" s="6">
        <v>9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389.81</v>
      </c>
      <c r="X273" s="6">
        <f>IF(ISERROR(VLOOKUP($U$273,'TAR FIN'!$A$1:$O$85,15,0)),0,VLOOKUP($U$273,'TAR FIN'!$A$1:$O$85,15,0))</f>
        <v>163.44999999999999</v>
      </c>
      <c r="Y273" s="6"/>
      <c r="Z273" s="6">
        <f ca="1">('TUSD BE'!$AM$33+'TUSD BF'!$AM$33+'TUSD CVA'!$AM$33)*(1-CUSTOS!$M$38)</f>
        <v>488.10481154466686</v>
      </c>
      <c r="AA273" s="6">
        <f>('TE BE'!$AB$24+'TE BF'!$AB$24+'TE CVA'!$AB$24)*(1-CUSTOS!$M$38)</f>
        <v>156.75768826917292</v>
      </c>
      <c r="AB273" s="6">
        <f>$K$273*$V$273</f>
        <v>0</v>
      </c>
      <c r="AC273" s="6">
        <f>$M$273*$W$273</f>
        <v>17967.122520000001</v>
      </c>
      <c r="AD273" s="6">
        <f>$O$273*$X$273</f>
        <v>7533.7373999999991</v>
      </c>
      <c r="AE273" s="6">
        <f>$K$273*$Y$273</f>
        <v>0</v>
      </c>
      <c r="AF273" s="6">
        <f ca="1">$M$273*$Z$273</f>
        <v>22497.726973716784</v>
      </c>
      <c r="AG273" s="6">
        <f>$O$273*$AA$273</f>
        <v>7225.2753677027176</v>
      </c>
    </row>
    <row r="274" spans="1:33" ht="11.25" customHeight="1" x14ac:dyDescent="0.3">
      <c r="A274" s="4" t="s">
        <v>21</v>
      </c>
      <c r="B274" s="4" t="s">
        <v>43</v>
      </c>
      <c r="C274" s="4" t="s">
        <v>23</v>
      </c>
      <c r="D274" s="4" t="s">
        <v>44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44774</v>
      </c>
      <c r="J274" s="6">
        <v>0</v>
      </c>
      <c r="K274" s="6">
        <v>0</v>
      </c>
      <c r="L274" s="6">
        <v>1362.568</v>
      </c>
      <c r="M274" s="6">
        <v>1362.568</v>
      </c>
      <c r="N274" s="6">
        <v>1362.568</v>
      </c>
      <c r="O274" s="6">
        <v>1362.568</v>
      </c>
      <c r="P274" s="6">
        <v>5576</v>
      </c>
      <c r="Q274" s="4" t="s">
        <v>26</v>
      </c>
      <c r="R274" s="4">
        <v>0</v>
      </c>
      <c r="S274" s="6">
        <v>0</v>
      </c>
      <c r="T274" s="6">
        <v>52</v>
      </c>
      <c r="U274" s="6">
        <v>9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389.81</v>
      </c>
      <c r="X274" s="6">
        <f>IF(ISERROR(VLOOKUP($U$274,'TAR FIN'!$A$1:$O$85,15,0)),0,VLOOKUP($U$274,'TAR FIN'!$A$1:$O$85,15,0))</f>
        <v>163.44999999999999</v>
      </c>
      <c r="Y274" s="6"/>
      <c r="Z274" s="6">
        <f ca="1">('TUSD BE'!$AM$33+'TUSD BF'!$AM$33+'TUSD CVA'!$AM$33)*(1-CUSTOS!$M$38)</f>
        <v>488.10481154466686</v>
      </c>
      <c r="AA274" s="6">
        <f>('TE BE'!$AB$24+'TE BF'!$AB$24+'TE CVA'!$AB$24)*(1-CUSTOS!$M$38)</f>
        <v>156.75768826917292</v>
      </c>
      <c r="AB274" s="6">
        <f>$K$274*$V$274</f>
        <v>0</v>
      </c>
      <c r="AC274" s="6">
        <f>$M$274*$W$274</f>
        <v>531142.63208000001</v>
      </c>
      <c r="AD274" s="6">
        <f>$O$274*$X$274</f>
        <v>222711.73959999997</v>
      </c>
      <c r="AE274" s="6">
        <f>$K$274*$Y$274</f>
        <v>0</v>
      </c>
      <c r="AF274" s="6">
        <f ca="1">$M$274*$Z$274</f>
        <v>665075.99685679364</v>
      </c>
      <c r="AG274" s="6">
        <f>$O$274*$AA$274</f>
        <v>213593.00978955039</v>
      </c>
    </row>
    <row r="275" spans="1:33" ht="11.25" customHeight="1" x14ac:dyDescent="0.3">
      <c r="A275" s="4" t="s">
        <v>28</v>
      </c>
      <c r="B275" s="4" t="s">
        <v>43</v>
      </c>
      <c r="C275" s="4" t="s">
        <v>23</v>
      </c>
      <c r="D275" s="4" t="s">
        <v>44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44774</v>
      </c>
      <c r="J275" s="6">
        <v>0</v>
      </c>
      <c r="K275" s="6">
        <v>0</v>
      </c>
      <c r="L275" s="6">
        <v>39.896999999999998</v>
      </c>
      <c r="M275" s="6">
        <v>39.896999999999998</v>
      </c>
      <c r="N275" s="6">
        <v>39.896999999999998</v>
      </c>
      <c r="O275" s="6">
        <v>39.896999999999998</v>
      </c>
      <c r="P275" s="6">
        <v>189</v>
      </c>
      <c r="Q275" s="4" t="s">
        <v>26</v>
      </c>
      <c r="R275" s="4">
        <v>0</v>
      </c>
      <c r="S275" s="6">
        <v>0</v>
      </c>
      <c r="T275" s="6">
        <v>52</v>
      </c>
      <c r="U275" s="6">
        <v>9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389.81</v>
      </c>
      <c r="X275" s="6">
        <f>IF(ISERROR(VLOOKUP($U$275,'TAR FIN'!$A$1:$O$85,15,0)),0,VLOOKUP($U$275,'TAR FIN'!$A$1:$O$85,15,0))</f>
        <v>163.44999999999999</v>
      </c>
      <c r="Y275" s="6"/>
      <c r="Z275" s="6">
        <f ca="1">('TUSD BE'!$AM$33+'TUSD BF'!$AM$33+'TUSD CVA'!$AM$33)*(1-CUSTOS!$M$38)</f>
        <v>488.10481154466686</v>
      </c>
      <c r="AA275" s="6">
        <f>('TE BE'!$AB$24+'TE BF'!$AB$24+'TE CVA'!$AB$24)*(1-CUSTOS!$M$38)</f>
        <v>156.75768826917292</v>
      </c>
      <c r="AB275" s="6">
        <f>$K$275*$V$275</f>
        <v>0</v>
      </c>
      <c r="AC275" s="6">
        <f>$M$275*$W$275</f>
        <v>15552.24957</v>
      </c>
      <c r="AD275" s="6">
        <f>$O$275*$X$275</f>
        <v>6521.1646499999997</v>
      </c>
      <c r="AE275" s="6">
        <f>$K$275*$Y$275</f>
        <v>0</v>
      </c>
      <c r="AF275" s="6">
        <f ca="1">$M$275*$Z$275</f>
        <v>19473.917666197573</v>
      </c>
      <c r="AG275" s="6">
        <f>$O$275*$AA$275</f>
        <v>6254.1614888751919</v>
      </c>
    </row>
    <row r="276" spans="1:33" ht="11.25" customHeight="1" x14ac:dyDescent="0.3">
      <c r="A276" s="4" t="s">
        <v>21</v>
      </c>
      <c r="B276" s="4" t="s">
        <v>35</v>
      </c>
      <c r="C276" s="4" t="s">
        <v>33</v>
      </c>
      <c r="D276" s="4" t="s">
        <v>40</v>
      </c>
      <c r="E276" s="4" t="s">
        <v>25</v>
      </c>
      <c r="F276" s="4" t="s">
        <v>25</v>
      </c>
      <c r="G276" s="4" t="s">
        <v>25</v>
      </c>
      <c r="H276" s="4" t="s">
        <v>34</v>
      </c>
      <c r="I276" s="5">
        <v>44440</v>
      </c>
      <c r="J276" s="6">
        <v>0</v>
      </c>
      <c r="K276" s="6">
        <v>0</v>
      </c>
      <c r="L276" s="6">
        <v>1.038</v>
      </c>
      <c r="M276" s="6">
        <v>1.038</v>
      </c>
      <c r="N276" s="6">
        <v>1.038</v>
      </c>
      <c r="O276" s="6">
        <v>1.038</v>
      </c>
      <c r="P276" s="6">
        <v>0</v>
      </c>
      <c r="Q276" s="4" t="s">
        <v>26</v>
      </c>
      <c r="R276" s="4">
        <v>0</v>
      </c>
      <c r="S276" s="6">
        <v>0</v>
      </c>
      <c r="T276" s="6">
        <v>66</v>
      </c>
      <c r="U276" s="6">
        <v>37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337.72</v>
      </c>
      <c r="X276" s="6">
        <f>IF(ISERROR(VLOOKUP($U$276,'TAR FIN'!$A$1:$O$85,15,0)),0,VLOOKUP($U$276,'TAR FIN'!$A$1:$O$85,15,0))</f>
        <v>185.74</v>
      </c>
      <c r="Y276" s="6"/>
      <c r="Z276" s="6">
        <f ca="1">('TUSD BE'!$AM$47+'TUSD BF'!$AM$47+'TUSD CVA'!$AM$47)*1</f>
        <v>401.33627665427343</v>
      </c>
      <c r="AA276" s="6">
        <f>('TE BE'!$AB$38+'TE BF'!$AB$38+'TE CVA'!$AB$38)*1</f>
        <v>166.7634981586946</v>
      </c>
      <c r="AB276" s="6">
        <f>$K$276*$V$276</f>
        <v>0</v>
      </c>
      <c r="AC276" s="6">
        <f>$M$276*$W$276</f>
        <v>350.55336000000005</v>
      </c>
      <c r="AD276" s="6">
        <f>$O$276*$X$276</f>
        <v>192.79812000000001</v>
      </c>
      <c r="AE276" s="6">
        <f>$K$276*$Y$276</f>
        <v>0</v>
      </c>
      <c r="AF276" s="6">
        <f ca="1">$M$276*$Z$276</f>
        <v>416.58705516713582</v>
      </c>
      <c r="AG276" s="6">
        <f>$O$276*$AA$276</f>
        <v>173.100511088725</v>
      </c>
    </row>
    <row r="277" spans="1:33" ht="11.25" customHeight="1" x14ac:dyDescent="0.3">
      <c r="A277" s="4" t="s">
        <v>21</v>
      </c>
      <c r="B277" s="4" t="s">
        <v>35</v>
      </c>
      <c r="C277" s="4" t="s">
        <v>33</v>
      </c>
      <c r="D277" s="4" t="s">
        <v>40</v>
      </c>
      <c r="E277" s="4" t="s">
        <v>25</v>
      </c>
      <c r="F277" s="4" t="s">
        <v>25</v>
      </c>
      <c r="G277" s="4" t="s">
        <v>25</v>
      </c>
      <c r="H277" s="4" t="s">
        <v>34</v>
      </c>
      <c r="I277" s="5">
        <v>44470</v>
      </c>
      <c r="J277" s="6">
        <v>0</v>
      </c>
      <c r="K277" s="6">
        <v>0</v>
      </c>
      <c r="L277" s="6">
        <v>0.97599999999999998</v>
      </c>
      <c r="M277" s="6">
        <v>0.97599999999999998</v>
      </c>
      <c r="N277" s="6">
        <v>0.97599999999999998</v>
      </c>
      <c r="O277" s="6">
        <v>0.97599999999999998</v>
      </c>
      <c r="P277" s="6">
        <v>0</v>
      </c>
      <c r="Q277" s="4" t="s">
        <v>26</v>
      </c>
      <c r="R277" s="4">
        <v>0</v>
      </c>
      <c r="S277" s="6">
        <v>0</v>
      </c>
      <c r="T277" s="6">
        <v>66</v>
      </c>
      <c r="U277" s="6">
        <v>37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337.72</v>
      </c>
      <c r="X277" s="6">
        <f>IF(ISERROR(VLOOKUP($U$277,'TAR FIN'!$A$1:$O$85,15,0)),0,VLOOKUP($U$277,'TAR FIN'!$A$1:$O$85,15,0))</f>
        <v>185.74</v>
      </c>
      <c r="Y277" s="6"/>
      <c r="Z277" s="6">
        <f ca="1">('TUSD BE'!$AM$47+'TUSD BF'!$AM$47+'TUSD CVA'!$AM$47)*1</f>
        <v>401.33627665427343</v>
      </c>
      <c r="AA277" s="6">
        <f>('TE BE'!$AB$38+'TE BF'!$AB$38+'TE CVA'!$AB$38)*1</f>
        <v>166.7634981586946</v>
      </c>
      <c r="AB277" s="6">
        <f>$K$277*$V$277</f>
        <v>0</v>
      </c>
      <c r="AC277" s="6">
        <f>$M$277*$W$277</f>
        <v>329.61472000000003</v>
      </c>
      <c r="AD277" s="6">
        <f>$O$277*$X$277</f>
        <v>181.28224</v>
      </c>
      <c r="AE277" s="6">
        <f>$K$277*$Y$277</f>
        <v>0</v>
      </c>
      <c r="AF277" s="6">
        <f ca="1">$M$277*$Z$277</f>
        <v>391.70420601457084</v>
      </c>
      <c r="AG277" s="6">
        <f>$O$277*$AA$277</f>
        <v>162.76117420288594</v>
      </c>
    </row>
    <row r="278" spans="1:33" ht="11.25" customHeight="1" x14ac:dyDescent="0.3">
      <c r="A278" s="4" t="s">
        <v>21</v>
      </c>
      <c r="B278" s="4" t="s">
        <v>35</v>
      </c>
      <c r="C278" s="4" t="s">
        <v>33</v>
      </c>
      <c r="D278" s="4" t="s">
        <v>40</v>
      </c>
      <c r="E278" s="4" t="s">
        <v>25</v>
      </c>
      <c r="F278" s="4" t="s">
        <v>25</v>
      </c>
      <c r="G278" s="4" t="s">
        <v>25</v>
      </c>
      <c r="H278" s="4" t="s">
        <v>34</v>
      </c>
      <c r="I278" s="5">
        <v>44501</v>
      </c>
      <c r="J278" s="6">
        <v>0</v>
      </c>
      <c r="K278" s="6">
        <v>0</v>
      </c>
      <c r="L278" s="6">
        <v>0.91500000000000004</v>
      </c>
      <c r="M278" s="6">
        <v>0.91500000000000004</v>
      </c>
      <c r="N278" s="6">
        <v>0.91500000000000004</v>
      </c>
      <c r="O278" s="6">
        <v>0.91500000000000004</v>
      </c>
      <c r="P278" s="6">
        <v>0</v>
      </c>
      <c r="Q278" s="4" t="s">
        <v>26</v>
      </c>
      <c r="R278" s="4">
        <v>0</v>
      </c>
      <c r="S278" s="6">
        <v>0</v>
      </c>
      <c r="T278" s="6">
        <v>66</v>
      </c>
      <c r="U278" s="6">
        <v>37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337.72</v>
      </c>
      <c r="X278" s="6">
        <f>IF(ISERROR(VLOOKUP($U$278,'TAR FIN'!$A$1:$O$85,15,0)),0,VLOOKUP($U$278,'TAR FIN'!$A$1:$O$85,15,0))</f>
        <v>185.74</v>
      </c>
      <c r="Y278" s="6"/>
      <c r="Z278" s="6">
        <f ca="1">('TUSD BE'!$AM$47+'TUSD BF'!$AM$47+'TUSD CVA'!$AM$47)*1</f>
        <v>401.33627665427343</v>
      </c>
      <c r="AA278" s="6">
        <f>('TE BE'!$AB$38+'TE BF'!$AB$38+'TE CVA'!$AB$38)*1</f>
        <v>166.7634981586946</v>
      </c>
      <c r="AB278" s="6">
        <f>$K$278*$V$278</f>
        <v>0</v>
      </c>
      <c r="AC278" s="6">
        <f>$M$278*$W$278</f>
        <v>309.01380000000006</v>
      </c>
      <c r="AD278" s="6">
        <f>$O$278*$X$278</f>
        <v>169.9521</v>
      </c>
      <c r="AE278" s="6">
        <f>$K$278*$Y$278</f>
        <v>0</v>
      </c>
      <c r="AF278" s="6">
        <f ca="1">$M$278*$Z$278</f>
        <v>367.22269313866019</v>
      </c>
      <c r="AG278" s="6">
        <f>$O$278*$AA$278</f>
        <v>152.58860081520558</v>
      </c>
    </row>
    <row r="279" spans="1:33" ht="11.25" customHeight="1" x14ac:dyDescent="0.3">
      <c r="A279" s="4" t="s">
        <v>21</v>
      </c>
      <c r="B279" s="4" t="s">
        <v>35</v>
      </c>
      <c r="C279" s="4" t="s">
        <v>33</v>
      </c>
      <c r="D279" s="4" t="s">
        <v>40</v>
      </c>
      <c r="E279" s="4" t="s">
        <v>25</v>
      </c>
      <c r="F279" s="4" t="s">
        <v>25</v>
      </c>
      <c r="G279" s="4" t="s">
        <v>25</v>
      </c>
      <c r="H279" s="4" t="s">
        <v>34</v>
      </c>
      <c r="I279" s="5">
        <v>44531</v>
      </c>
      <c r="J279" s="6">
        <v>0</v>
      </c>
      <c r="K279" s="6">
        <v>0</v>
      </c>
      <c r="L279" s="6">
        <v>0.84399999999999997</v>
      </c>
      <c r="M279" s="6">
        <v>0.84399999999999997</v>
      </c>
      <c r="N279" s="6">
        <v>0.84399999999999997</v>
      </c>
      <c r="O279" s="6">
        <v>0.84399999999999997</v>
      </c>
      <c r="P279" s="6">
        <v>0</v>
      </c>
      <c r="Q279" s="4" t="s">
        <v>26</v>
      </c>
      <c r="R279" s="4">
        <v>0</v>
      </c>
      <c r="S279" s="6">
        <v>0</v>
      </c>
      <c r="T279" s="6">
        <v>66</v>
      </c>
      <c r="U279" s="6">
        <v>37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337.72</v>
      </c>
      <c r="X279" s="6">
        <f>IF(ISERROR(VLOOKUP($U$279,'TAR FIN'!$A$1:$O$85,15,0)),0,VLOOKUP($U$279,'TAR FIN'!$A$1:$O$85,15,0))</f>
        <v>185.74</v>
      </c>
      <c r="Y279" s="6"/>
      <c r="Z279" s="6">
        <f ca="1">('TUSD BE'!$AM$47+'TUSD BF'!$AM$47+'TUSD CVA'!$AM$47)*1</f>
        <v>401.33627665427343</v>
      </c>
      <c r="AA279" s="6">
        <f>('TE BE'!$AB$38+'TE BF'!$AB$38+'TE CVA'!$AB$38)*1</f>
        <v>166.7634981586946</v>
      </c>
      <c r="AB279" s="6">
        <f>$K$279*$V$279</f>
        <v>0</v>
      </c>
      <c r="AC279" s="6">
        <f>$M$279*$W$279</f>
        <v>285.03568000000001</v>
      </c>
      <c r="AD279" s="6">
        <f>$O$279*$X$279</f>
        <v>156.76455999999999</v>
      </c>
      <c r="AE279" s="6">
        <f>$K$279*$Y$279</f>
        <v>0</v>
      </c>
      <c r="AF279" s="6">
        <f ca="1">$M$279*$Z$279</f>
        <v>338.72781749620674</v>
      </c>
      <c r="AG279" s="6">
        <f>$O$279*$AA$279</f>
        <v>140.74839244593824</v>
      </c>
    </row>
    <row r="280" spans="1:33" ht="11.25" customHeight="1" x14ac:dyDescent="0.3">
      <c r="A280" s="4" t="s">
        <v>21</v>
      </c>
      <c r="B280" s="4" t="s">
        <v>35</v>
      </c>
      <c r="C280" s="4" t="s">
        <v>33</v>
      </c>
      <c r="D280" s="4" t="s">
        <v>40</v>
      </c>
      <c r="E280" s="4" t="s">
        <v>25</v>
      </c>
      <c r="F280" s="4" t="s">
        <v>25</v>
      </c>
      <c r="G280" s="4" t="s">
        <v>25</v>
      </c>
      <c r="H280" s="4" t="s">
        <v>34</v>
      </c>
      <c r="I280" s="5">
        <v>44562</v>
      </c>
      <c r="J280" s="6">
        <v>0</v>
      </c>
      <c r="K280" s="6">
        <v>0</v>
      </c>
      <c r="L280" s="6">
        <v>1.236</v>
      </c>
      <c r="M280" s="6">
        <v>1.236</v>
      </c>
      <c r="N280" s="6">
        <v>1.236</v>
      </c>
      <c r="O280" s="6">
        <v>1.236</v>
      </c>
      <c r="P280" s="6">
        <v>0</v>
      </c>
      <c r="Q280" s="4" t="s">
        <v>26</v>
      </c>
      <c r="R280" s="4">
        <v>0</v>
      </c>
      <c r="S280" s="6">
        <v>0</v>
      </c>
      <c r="T280" s="6">
        <v>66</v>
      </c>
      <c r="U280" s="6">
        <v>37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337.72</v>
      </c>
      <c r="X280" s="6">
        <f>IF(ISERROR(VLOOKUP($U$280,'TAR FIN'!$A$1:$O$85,15,0)),0,VLOOKUP($U$280,'TAR FIN'!$A$1:$O$85,15,0))</f>
        <v>185.74</v>
      </c>
      <c r="Y280" s="6"/>
      <c r="Z280" s="6">
        <f ca="1">('TUSD BE'!$AM$47+'TUSD BF'!$AM$47+'TUSD CVA'!$AM$47)*1</f>
        <v>401.33627665427343</v>
      </c>
      <c r="AA280" s="6">
        <f>('TE BE'!$AB$38+'TE BF'!$AB$38+'TE CVA'!$AB$38)*1</f>
        <v>166.7634981586946</v>
      </c>
      <c r="AB280" s="6">
        <f>$K$280*$V$280</f>
        <v>0</v>
      </c>
      <c r="AC280" s="6">
        <f>$M$280*$W$280</f>
        <v>417.42192000000006</v>
      </c>
      <c r="AD280" s="6">
        <f>$O$280*$X$280</f>
        <v>229.57464000000002</v>
      </c>
      <c r="AE280" s="6">
        <f>$K$280*$Y$280</f>
        <v>0</v>
      </c>
      <c r="AF280" s="6">
        <f ca="1">$M$280*$Z$280</f>
        <v>496.05163794468194</v>
      </c>
      <c r="AG280" s="6">
        <f>$O$280*$AA$280</f>
        <v>206.11968372414654</v>
      </c>
    </row>
    <row r="281" spans="1:33" ht="11.25" customHeight="1" x14ac:dyDescent="0.3">
      <c r="A281" s="4" t="s">
        <v>21</v>
      </c>
      <c r="B281" s="4" t="s">
        <v>35</v>
      </c>
      <c r="C281" s="4" t="s">
        <v>33</v>
      </c>
      <c r="D281" s="4" t="s">
        <v>40</v>
      </c>
      <c r="E281" s="4" t="s">
        <v>25</v>
      </c>
      <c r="F281" s="4" t="s">
        <v>25</v>
      </c>
      <c r="G281" s="4" t="s">
        <v>25</v>
      </c>
      <c r="H281" s="4" t="s">
        <v>34</v>
      </c>
      <c r="I281" s="5">
        <v>44593</v>
      </c>
      <c r="J281" s="6">
        <v>0</v>
      </c>
      <c r="K281" s="6">
        <v>0</v>
      </c>
      <c r="L281" s="6">
        <v>1.349</v>
      </c>
      <c r="M281" s="6">
        <v>1.349</v>
      </c>
      <c r="N281" s="6">
        <v>1.349</v>
      </c>
      <c r="O281" s="6">
        <v>1.349</v>
      </c>
      <c r="P281" s="6">
        <v>0</v>
      </c>
      <c r="Q281" s="4" t="s">
        <v>26</v>
      </c>
      <c r="R281" s="4">
        <v>0</v>
      </c>
      <c r="S281" s="6">
        <v>0</v>
      </c>
      <c r="T281" s="6">
        <v>66</v>
      </c>
      <c r="U281" s="6">
        <v>37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337.72</v>
      </c>
      <c r="X281" s="6">
        <f>IF(ISERROR(VLOOKUP($U$281,'TAR FIN'!$A$1:$O$85,15,0)),0,VLOOKUP($U$281,'TAR FIN'!$A$1:$O$85,15,0))</f>
        <v>185.74</v>
      </c>
      <c r="Y281" s="6"/>
      <c r="Z281" s="6">
        <f ca="1">('TUSD BE'!$AM$47+'TUSD BF'!$AM$47+'TUSD CVA'!$AM$47)*1</f>
        <v>401.33627665427343</v>
      </c>
      <c r="AA281" s="6">
        <f>('TE BE'!$AB$38+'TE BF'!$AB$38+'TE CVA'!$AB$38)*1</f>
        <v>166.7634981586946</v>
      </c>
      <c r="AB281" s="6">
        <f>$K$281*$V$281</f>
        <v>0</v>
      </c>
      <c r="AC281" s="6">
        <f>$M$281*$W$281</f>
        <v>455.58428000000004</v>
      </c>
      <c r="AD281" s="6">
        <f>$O$281*$X$281</f>
        <v>250.56326000000001</v>
      </c>
      <c r="AE281" s="6">
        <f>$K$281*$Y$281</f>
        <v>0</v>
      </c>
      <c r="AF281" s="6">
        <f ca="1">$M$281*$Z$281</f>
        <v>541.40263720661483</v>
      </c>
      <c r="AG281" s="6">
        <f>$O$281*$AA$281</f>
        <v>224.963959016079</v>
      </c>
    </row>
    <row r="282" spans="1:33" ht="11.25" customHeight="1" x14ac:dyDescent="0.3">
      <c r="A282" s="4" t="s">
        <v>21</v>
      </c>
      <c r="B282" s="4" t="s">
        <v>35</v>
      </c>
      <c r="C282" s="4" t="s">
        <v>33</v>
      </c>
      <c r="D282" s="4" t="s">
        <v>40</v>
      </c>
      <c r="E282" s="4" t="s">
        <v>25</v>
      </c>
      <c r="F282" s="4" t="s">
        <v>25</v>
      </c>
      <c r="G282" s="4" t="s">
        <v>25</v>
      </c>
      <c r="H282" s="4" t="s">
        <v>34</v>
      </c>
      <c r="I282" s="5">
        <v>44621</v>
      </c>
      <c r="J282" s="6">
        <v>0</v>
      </c>
      <c r="K282" s="6">
        <v>0</v>
      </c>
      <c r="L282" s="6">
        <v>0.12</v>
      </c>
      <c r="M282" s="6">
        <v>0.12</v>
      </c>
      <c r="N282" s="6">
        <v>0.12</v>
      </c>
      <c r="O282" s="6">
        <v>0.12</v>
      </c>
      <c r="P282" s="6">
        <v>0</v>
      </c>
      <c r="Q282" s="4" t="s">
        <v>26</v>
      </c>
      <c r="R282" s="4">
        <v>0</v>
      </c>
      <c r="S282" s="6">
        <v>0</v>
      </c>
      <c r="T282" s="6">
        <v>66</v>
      </c>
      <c r="U282" s="6">
        <v>37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337.72</v>
      </c>
      <c r="X282" s="6">
        <f>IF(ISERROR(VLOOKUP($U$282,'TAR FIN'!$A$1:$O$85,15,0)),0,VLOOKUP($U$282,'TAR FIN'!$A$1:$O$85,15,0))</f>
        <v>185.74</v>
      </c>
      <c r="Y282" s="6"/>
      <c r="Z282" s="6">
        <f ca="1">('TUSD BE'!$AM$47+'TUSD BF'!$AM$47+'TUSD CVA'!$AM$47)*1</f>
        <v>401.33627665427343</v>
      </c>
      <c r="AA282" s="6">
        <f>('TE BE'!$AB$38+'TE BF'!$AB$38+'TE CVA'!$AB$38)*1</f>
        <v>166.7634981586946</v>
      </c>
      <c r="AB282" s="6">
        <f>$K$282*$V$282</f>
        <v>0</v>
      </c>
      <c r="AC282" s="6">
        <f>$M$282*$W$282</f>
        <v>40.526400000000002</v>
      </c>
      <c r="AD282" s="6">
        <f>$O$282*$X$282</f>
        <v>22.288800000000002</v>
      </c>
      <c r="AE282" s="6">
        <f>$K$282*$Y$282</f>
        <v>0</v>
      </c>
      <c r="AF282" s="6">
        <f ca="1">$M$282*$Z$282</f>
        <v>48.160353198512809</v>
      </c>
      <c r="AG282" s="6">
        <f>$O$282*$AA$282</f>
        <v>20.01161977904335</v>
      </c>
    </row>
    <row r="283" spans="1:33" ht="11.25" customHeight="1" x14ac:dyDescent="0.3">
      <c r="A283" s="4" t="s">
        <v>21</v>
      </c>
      <c r="B283" s="4" t="s">
        <v>35</v>
      </c>
      <c r="C283" s="4" t="s">
        <v>33</v>
      </c>
      <c r="D283" s="4" t="s">
        <v>40</v>
      </c>
      <c r="E283" s="4" t="s">
        <v>25</v>
      </c>
      <c r="F283" s="4" t="s">
        <v>25</v>
      </c>
      <c r="G283" s="4" t="s">
        <v>25</v>
      </c>
      <c r="H283" s="4" t="s">
        <v>42</v>
      </c>
      <c r="I283" s="5">
        <v>44440</v>
      </c>
      <c r="J283" s="6">
        <v>0</v>
      </c>
      <c r="K283" s="6">
        <v>0</v>
      </c>
      <c r="L283" s="6">
        <v>6.9000000000000006E-2</v>
      </c>
      <c r="M283" s="6">
        <v>6.9000000000000006E-2</v>
      </c>
      <c r="N283" s="6">
        <v>6.9000000000000006E-2</v>
      </c>
      <c r="O283" s="6">
        <v>6.9000000000000006E-2</v>
      </c>
      <c r="P283" s="6">
        <v>0</v>
      </c>
      <c r="Q283" s="4" t="s">
        <v>26</v>
      </c>
      <c r="R283" s="4">
        <v>0</v>
      </c>
      <c r="S283" s="6">
        <v>0</v>
      </c>
      <c r="T283" s="6">
        <v>65</v>
      </c>
      <c r="U283" s="6">
        <v>35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806.19</v>
      </c>
      <c r="X283" s="6">
        <f>IF(ISERROR(VLOOKUP($U$283,'TAR FIN'!$A$1:$O$85,15,0)),0,VLOOKUP($U$283,'TAR FIN'!$A$1:$O$85,15,0))</f>
        <v>185.74</v>
      </c>
      <c r="Y283" s="6"/>
      <c r="Z283" s="6">
        <f ca="1">('TUSD BE'!$AM$46+'TUSD BF'!$AM$46+'TUSD CVA'!$AM$46)*1</f>
        <v>926.25071467060377</v>
      </c>
      <c r="AA283" s="6">
        <f>('TE BE'!$AB$37+'TE BF'!$AB$37+'TE CVA'!$AB$37)*1</f>
        <v>166.7634981586946</v>
      </c>
      <c r="AB283" s="6">
        <f>$K$283*$V$283</f>
        <v>0</v>
      </c>
      <c r="AC283" s="6">
        <f>$M$283*$W$283</f>
        <v>55.627110000000009</v>
      </c>
      <c r="AD283" s="6">
        <f>$O$283*$X$283</f>
        <v>12.816060000000002</v>
      </c>
      <c r="AE283" s="6">
        <f>$K$283*$Y$283</f>
        <v>0</v>
      </c>
      <c r="AF283" s="6">
        <f ca="1">$M$283*$Z$283</f>
        <v>63.911299312271666</v>
      </c>
      <c r="AG283" s="6">
        <f>$O$283*$AA$283</f>
        <v>11.506681372949929</v>
      </c>
    </row>
    <row r="284" spans="1:33" ht="11.25" customHeight="1" x14ac:dyDescent="0.3">
      <c r="A284" s="4" t="s">
        <v>21</v>
      </c>
      <c r="B284" s="4" t="s">
        <v>35</v>
      </c>
      <c r="C284" s="4" t="s">
        <v>33</v>
      </c>
      <c r="D284" s="4" t="s">
        <v>40</v>
      </c>
      <c r="E284" s="4" t="s">
        <v>25</v>
      </c>
      <c r="F284" s="4" t="s">
        <v>25</v>
      </c>
      <c r="G284" s="4" t="s">
        <v>25</v>
      </c>
      <c r="H284" s="4" t="s">
        <v>42</v>
      </c>
      <c r="I284" s="5">
        <v>44470</v>
      </c>
      <c r="J284" s="6">
        <v>0</v>
      </c>
      <c r="K284" s="6">
        <v>0</v>
      </c>
      <c r="L284" s="6">
        <v>7.0999999999999994E-2</v>
      </c>
      <c r="M284" s="6">
        <v>7.0999999999999994E-2</v>
      </c>
      <c r="N284" s="6">
        <v>7.0999999999999994E-2</v>
      </c>
      <c r="O284" s="6">
        <v>7.0999999999999994E-2</v>
      </c>
      <c r="P284" s="6">
        <v>0</v>
      </c>
      <c r="Q284" s="4" t="s">
        <v>26</v>
      </c>
      <c r="R284" s="4">
        <v>0</v>
      </c>
      <c r="S284" s="6">
        <v>0</v>
      </c>
      <c r="T284" s="6">
        <v>65</v>
      </c>
      <c r="U284" s="6">
        <v>35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806.19</v>
      </c>
      <c r="X284" s="6">
        <f>IF(ISERROR(VLOOKUP($U$284,'TAR FIN'!$A$1:$O$85,15,0)),0,VLOOKUP($U$284,'TAR FIN'!$A$1:$O$85,15,0))</f>
        <v>185.74</v>
      </c>
      <c r="Y284" s="6"/>
      <c r="Z284" s="6">
        <f ca="1">('TUSD BE'!$AM$46+'TUSD BF'!$AM$46+'TUSD CVA'!$AM$46)*1</f>
        <v>926.25071467060377</v>
      </c>
      <c r="AA284" s="6">
        <f>('TE BE'!$AB$37+'TE BF'!$AB$37+'TE CVA'!$AB$37)*1</f>
        <v>166.7634981586946</v>
      </c>
      <c r="AB284" s="6">
        <f>$K$284*$V$284</f>
        <v>0</v>
      </c>
      <c r="AC284" s="6">
        <f>$M$284*$W$284</f>
        <v>57.239489999999996</v>
      </c>
      <c r="AD284" s="6">
        <f>$O$284*$X$284</f>
        <v>13.18754</v>
      </c>
      <c r="AE284" s="6">
        <f>$K$284*$Y$284</f>
        <v>0</v>
      </c>
      <c r="AF284" s="6">
        <f ca="1">$M$284*$Z$284</f>
        <v>65.763800741612869</v>
      </c>
      <c r="AG284" s="6">
        <f>$O$284*$AA$284</f>
        <v>11.840208369267316</v>
      </c>
    </row>
    <row r="285" spans="1:33" ht="11.25" customHeight="1" x14ac:dyDescent="0.3">
      <c r="A285" s="4" t="s">
        <v>21</v>
      </c>
      <c r="B285" s="4" t="s">
        <v>35</v>
      </c>
      <c r="C285" s="4" t="s">
        <v>33</v>
      </c>
      <c r="D285" s="4" t="s">
        <v>40</v>
      </c>
      <c r="E285" s="4" t="s">
        <v>25</v>
      </c>
      <c r="F285" s="4" t="s">
        <v>25</v>
      </c>
      <c r="G285" s="4" t="s">
        <v>25</v>
      </c>
      <c r="H285" s="4" t="s">
        <v>42</v>
      </c>
      <c r="I285" s="5">
        <v>44501</v>
      </c>
      <c r="J285" s="6">
        <v>0</v>
      </c>
      <c r="K285" s="6">
        <v>0</v>
      </c>
      <c r="L285" s="6">
        <v>6.7000000000000004E-2</v>
      </c>
      <c r="M285" s="6">
        <v>6.7000000000000004E-2</v>
      </c>
      <c r="N285" s="6">
        <v>6.7000000000000004E-2</v>
      </c>
      <c r="O285" s="6">
        <v>6.7000000000000004E-2</v>
      </c>
      <c r="P285" s="6">
        <v>0</v>
      </c>
      <c r="Q285" s="4" t="s">
        <v>26</v>
      </c>
      <c r="R285" s="4">
        <v>0</v>
      </c>
      <c r="S285" s="6">
        <v>0</v>
      </c>
      <c r="T285" s="6">
        <v>65</v>
      </c>
      <c r="U285" s="6">
        <v>35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806.19</v>
      </c>
      <c r="X285" s="6">
        <f>IF(ISERROR(VLOOKUP($U$285,'TAR FIN'!$A$1:$O$85,15,0)),0,VLOOKUP($U$285,'TAR FIN'!$A$1:$O$85,15,0))</f>
        <v>185.74</v>
      </c>
      <c r="Y285" s="6"/>
      <c r="Z285" s="6">
        <f ca="1">('TUSD BE'!$AM$46+'TUSD BF'!$AM$46+'TUSD CVA'!$AM$46)*1</f>
        <v>926.25071467060377</v>
      </c>
      <c r="AA285" s="6">
        <f>('TE BE'!$AB$37+'TE BF'!$AB$37+'TE CVA'!$AB$37)*1</f>
        <v>166.7634981586946</v>
      </c>
      <c r="AB285" s="6">
        <f>$K$285*$V$285</f>
        <v>0</v>
      </c>
      <c r="AC285" s="6">
        <f>$M$285*$W$285</f>
        <v>54.014730000000007</v>
      </c>
      <c r="AD285" s="6">
        <f>$O$285*$X$285</f>
        <v>12.444580000000002</v>
      </c>
      <c r="AE285" s="6">
        <f>$K$285*$Y$285</f>
        <v>0</v>
      </c>
      <c r="AF285" s="6">
        <f ca="1">$M$285*$Z$285</f>
        <v>62.058797882930456</v>
      </c>
      <c r="AG285" s="6">
        <f>$O$285*$AA$285</f>
        <v>11.173154376632539</v>
      </c>
    </row>
    <row r="286" spans="1:33" ht="11.25" customHeight="1" x14ac:dyDescent="0.3">
      <c r="A286" s="4" t="s">
        <v>21</v>
      </c>
      <c r="B286" s="4" t="s">
        <v>35</v>
      </c>
      <c r="C286" s="4" t="s">
        <v>33</v>
      </c>
      <c r="D286" s="4" t="s">
        <v>40</v>
      </c>
      <c r="E286" s="4" t="s">
        <v>25</v>
      </c>
      <c r="F286" s="4" t="s">
        <v>25</v>
      </c>
      <c r="G286" s="4" t="s">
        <v>25</v>
      </c>
      <c r="H286" s="4" t="s">
        <v>42</v>
      </c>
      <c r="I286" s="5">
        <v>44531</v>
      </c>
      <c r="J286" s="6">
        <v>0</v>
      </c>
      <c r="K286" s="6">
        <v>0</v>
      </c>
      <c r="L286" s="6">
        <v>5.8000000000000003E-2</v>
      </c>
      <c r="M286" s="6">
        <v>5.8000000000000003E-2</v>
      </c>
      <c r="N286" s="6">
        <v>5.8000000000000003E-2</v>
      </c>
      <c r="O286" s="6">
        <v>5.8000000000000003E-2</v>
      </c>
      <c r="P286" s="6">
        <v>0</v>
      </c>
      <c r="Q286" s="4" t="s">
        <v>26</v>
      </c>
      <c r="R286" s="4">
        <v>0</v>
      </c>
      <c r="S286" s="6">
        <v>0</v>
      </c>
      <c r="T286" s="6">
        <v>65</v>
      </c>
      <c r="U286" s="6">
        <v>35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806.19</v>
      </c>
      <c r="X286" s="6">
        <f>IF(ISERROR(VLOOKUP($U$286,'TAR FIN'!$A$1:$O$85,15,0)),0,VLOOKUP($U$286,'TAR FIN'!$A$1:$O$85,15,0))</f>
        <v>185.74</v>
      </c>
      <c r="Y286" s="6"/>
      <c r="Z286" s="6">
        <f ca="1">('TUSD BE'!$AM$46+'TUSD BF'!$AM$46+'TUSD CVA'!$AM$46)*1</f>
        <v>926.25071467060377</v>
      </c>
      <c r="AA286" s="6">
        <f>('TE BE'!$AB$37+'TE BF'!$AB$37+'TE CVA'!$AB$37)*1</f>
        <v>166.7634981586946</v>
      </c>
      <c r="AB286" s="6">
        <f>$K$286*$V$286</f>
        <v>0</v>
      </c>
      <c r="AC286" s="6">
        <f>$M$286*$W$286</f>
        <v>46.759020000000007</v>
      </c>
      <c r="AD286" s="6">
        <f>$O$286*$X$286</f>
        <v>10.772920000000001</v>
      </c>
      <c r="AE286" s="6">
        <f>$K$286*$Y$286</f>
        <v>0</v>
      </c>
      <c r="AF286" s="6">
        <f ca="1">$M$286*$Z$286</f>
        <v>53.722541450895022</v>
      </c>
      <c r="AG286" s="6">
        <f>$O$286*$AA$286</f>
        <v>9.6722828932042866</v>
      </c>
    </row>
    <row r="287" spans="1:33" ht="11.25" customHeight="1" x14ac:dyDescent="0.3">
      <c r="A287" s="4" t="s">
        <v>21</v>
      </c>
      <c r="B287" s="4" t="s">
        <v>35</v>
      </c>
      <c r="C287" s="4" t="s">
        <v>33</v>
      </c>
      <c r="D287" s="4" t="s">
        <v>40</v>
      </c>
      <c r="E287" s="4" t="s">
        <v>25</v>
      </c>
      <c r="F287" s="4" t="s">
        <v>25</v>
      </c>
      <c r="G287" s="4" t="s">
        <v>25</v>
      </c>
      <c r="H287" s="4" t="s">
        <v>42</v>
      </c>
      <c r="I287" s="5">
        <v>44562</v>
      </c>
      <c r="J287" s="6">
        <v>0</v>
      </c>
      <c r="K287" s="6">
        <v>0</v>
      </c>
      <c r="L287" s="6">
        <v>0.09</v>
      </c>
      <c r="M287" s="6">
        <v>0.09</v>
      </c>
      <c r="N287" s="6">
        <v>0.09</v>
      </c>
      <c r="O287" s="6">
        <v>0.09</v>
      </c>
      <c r="P287" s="6">
        <v>0</v>
      </c>
      <c r="Q287" s="4" t="s">
        <v>26</v>
      </c>
      <c r="R287" s="4">
        <v>0</v>
      </c>
      <c r="S287" s="6">
        <v>0</v>
      </c>
      <c r="T287" s="6">
        <v>65</v>
      </c>
      <c r="U287" s="6">
        <v>35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806.19</v>
      </c>
      <c r="X287" s="6">
        <f>IF(ISERROR(VLOOKUP($U$287,'TAR FIN'!$A$1:$O$85,15,0)),0,VLOOKUP($U$287,'TAR FIN'!$A$1:$O$85,15,0))</f>
        <v>185.74</v>
      </c>
      <c r="Y287" s="6"/>
      <c r="Z287" s="6">
        <f ca="1">('TUSD BE'!$AM$46+'TUSD BF'!$AM$46+'TUSD CVA'!$AM$46)*1</f>
        <v>926.25071467060377</v>
      </c>
      <c r="AA287" s="6">
        <f>('TE BE'!$AB$37+'TE BF'!$AB$37+'TE CVA'!$AB$37)*1</f>
        <v>166.7634981586946</v>
      </c>
      <c r="AB287" s="6">
        <f>$K$287*$V$287</f>
        <v>0</v>
      </c>
      <c r="AC287" s="6">
        <f>$M$287*$W$287</f>
        <v>72.557100000000005</v>
      </c>
      <c r="AD287" s="6">
        <f>$O$287*$X$287</f>
        <v>16.7166</v>
      </c>
      <c r="AE287" s="6">
        <f>$K$287*$Y$287</f>
        <v>0</v>
      </c>
      <c r="AF287" s="6">
        <f ca="1">$M$287*$Z$287</f>
        <v>83.362564320354338</v>
      </c>
      <c r="AG287" s="6">
        <f>$O$287*$AA$287</f>
        <v>15.008714834282515</v>
      </c>
    </row>
    <row r="288" spans="1:33" ht="11.25" customHeight="1" x14ac:dyDescent="0.3">
      <c r="A288" s="4" t="s">
        <v>21</v>
      </c>
      <c r="B288" s="4" t="s">
        <v>35</v>
      </c>
      <c r="C288" s="4" t="s">
        <v>33</v>
      </c>
      <c r="D288" s="4" t="s">
        <v>40</v>
      </c>
      <c r="E288" s="4" t="s">
        <v>25</v>
      </c>
      <c r="F288" s="4" t="s">
        <v>25</v>
      </c>
      <c r="G288" s="4" t="s">
        <v>25</v>
      </c>
      <c r="H288" s="4" t="s">
        <v>42</v>
      </c>
      <c r="I288" s="5">
        <v>44593</v>
      </c>
      <c r="J288" s="6">
        <v>0</v>
      </c>
      <c r="K288" s="6">
        <v>0</v>
      </c>
      <c r="L288" s="6">
        <v>0.10199999999999999</v>
      </c>
      <c r="M288" s="6">
        <v>0.10199999999999999</v>
      </c>
      <c r="N288" s="6">
        <v>0.10199999999999999</v>
      </c>
      <c r="O288" s="6">
        <v>0.10199999999999999</v>
      </c>
      <c r="P288" s="6">
        <v>0</v>
      </c>
      <c r="Q288" s="4" t="s">
        <v>26</v>
      </c>
      <c r="R288" s="4">
        <v>0</v>
      </c>
      <c r="S288" s="6">
        <v>0</v>
      </c>
      <c r="T288" s="6">
        <v>65</v>
      </c>
      <c r="U288" s="6">
        <v>35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806.19</v>
      </c>
      <c r="X288" s="6">
        <f>IF(ISERROR(VLOOKUP($U$288,'TAR FIN'!$A$1:$O$85,15,0)),0,VLOOKUP($U$288,'TAR FIN'!$A$1:$O$85,15,0))</f>
        <v>185.74</v>
      </c>
      <c r="Y288" s="6"/>
      <c r="Z288" s="6">
        <f ca="1">('TUSD BE'!$AM$46+'TUSD BF'!$AM$46+'TUSD CVA'!$AM$46)*1</f>
        <v>926.25071467060377</v>
      </c>
      <c r="AA288" s="6">
        <f>('TE BE'!$AB$37+'TE BF'!$AB$37+'TE CVA'!$AB$37)*1</f>
        <v>166.7634981586946</v>
      </c>
      <c r="AB288" s="6">
        <f>$K$288*$V$288</f>
        <v>0</v>
      </c>
      <c r="AC288" s="6">
        <f>$M$288*$W$288</f>
        <v>82.231380000000001</v>
      </c>
      <c r="AD288" s="6">
        <f>$O$288*$X$288</f>
        <v>18.94548</v>
      </c>
      <c r="AE288" s="6">
        <f>$K$288*$Y$288</f>
        <v>0</v>
      </c>
      <c r="AF288" s="6">
        <f ca="1">$M$288*$Z$288</f>
        <v>94.477572896401583</v>
      </c>
      <c r="AG288" s="6">
        <f>$O$288*$AA$288</f>
        <v>17.00987681218685</v>
      </c>
    </row>
    <row r="289" spans="1:33" ht="11.25" customHeight="1" x14ac:dyDescent="0.3">
      <c r="A289" s="4" t="s">
        <v>21</v>
      </c>
      <c r="B289" s="4" t="s">
        <v>35</v>
      </c>
      <c r="C289" s="4" t="s">
        <v>33</v>
      </c>
      <c r="D289" s="4" t="s">
        <v>40</v>
      </c>
      <c r="E289" s="4" t="s">
        <v>25</v>
      </c>
      <c r="F289" s="4" t="s">
        <v>25</v>
      </c>
      <c r="G289" s="4" t="s">
        <v>25</v>
      </c>
      <c r="H289" s="4" t="s">
        <v>39</v>
      </c>
      <c r="I289" s="5">
        <v>44440</v>
      </c>
      <c r="J289" s="6">
        <v>0</v>
      </c>
      <c r="K289" s="6">
        <v>0</v>
      </c>
      <c r="L289" s="6">
        <v>0.109</v>
      </c>
      <c r="M289" s="6">
        <v>0.109</v>
      </c>
      <c r="N289" s="6">
        <v>0.109</v>
      </c>
      <c r="O289" s="6">
        <v>0.109</v>
      </c>
      <c r="P289" s="6">
        <v>0</v>
      </c>
      <c r="Q289" s="4" t="s">
        <v>26</v>
      </c>
      <c r="R289" s="4">
        <v>0</v>
      </c>
      <c r="S289" s="6">
        <v>0</v>
      </c>
      <c r="T289" s="6">
        <v>64</v>
      </c>
      <c r="U289" s="6">
        <v>33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1274.73</v>
      </c>
      <c r="X289" s="6">
        <f>IF(ISERROR(VLOOKUP($U$289,'TAR FIN'!$A$1:$O$85,15,0)),0,VLOOKUP($U$289,'TAR FIN'!$A$1:$O$85,15,0))</f>
        <v>185.74</v>
      </c>
      <c r="Y289" s="6"/>
      <c r="Z289" s="6">
        <f ca="1">('TUSD BE'!$AM$45+'TUSD BF'!$AM$45+'TUSD CVA'!$AM$45)*1</f>
        <v>1451.228185376877</v>
      </c>
      <c r="AA289" s="6">
        <f>('TE BE'!$AB$36+'TE BF'!$AB$36+'TE CVA'!$AB$36)*1</f>
        <v>166.7634981586946</v>
      </c>
      <c r="AB289" s="6">
        <f>$K$289*$V$289</f>
        <v>0</v>
      </c>
      <c r="AC289" s="6">
        <f>$M$289*$W$289</f>
        <v>138.94557</v>
      </c>
      <c r="AD289" s="6">
        <f>$O$289*$X$289</f>
        <v>20.245660000000001</v>
      </c>
      <c r="AE289" s="6">
        <f>$K$289*$Y$289</f>
        <v>0</v>
      </c>
      <c r="AF289" s="6">
        <f ca="1">$M$289*$Z$289</f>
        <v>158.1838722060796</v>
      </c>
      <c r="AG289" s="6">
        <f>$O$289*$AA$289</f>
        <v>18.177221299297713</v>
      </c>
    </row>
    <row r="290" spans="1:33" ht="11.25" customHeight="1" x14ac:dyDescent="0.3">
      <c r="A290" s="4" t="s">
        <v>21</v>
      </c>
      <c r="B290" s="4" t="s">
        <v>35</v>
      </c>
      <c r="C290" s="4" t="s">
        <v>33</v>
      </c>
      <c r="D290" s="4" t="s">
        <v>40</v>
      </c>
      <c r="E290" s="4" t="s">
        <v>25</v>
      </c>
      <c r="F290" s="4" t="s">
        <v>25</v>
      </c>
      <c r="G290" s="4" t="s">
        <v>25</v>
      </c>
      <c r="H290" s="4" t="s">
        <v>39</v>
      </c>
      <c r="I290" s="5">
        <v>44470</v>
      </c>
      <c r="J290" s="6">
        <v>0</v>
      </c>
      <c r="K290" s="6">
        <v>0</v>
      </c>
      <c r="L290" s="6">
        <v>0.10100000000000001</v>
      </c>
      <c r="M290" s="6">
        <v>0.10100000000000001</v>
      </c>
      <c r="N290" s="6">
        <v>0.10100000000000001</v>
      </c>
      <c r="O290" s="6">
        <v>0.10100000000000001</v>
      </c>
      <c r="P290" s="6">
        <v>0</v>
      </c>
      <c r="Q290" s="4" t="s">
        <v>26</v>
      </c>
      <c r="R290" s="4">
        <v>0</v>
      </c>
      <c r="S290" s="6">
        <v>0</v>
      </c>
      <c r="T290" s="6">
        <v>64</v>
      </c>
      <c r="U290" s="6">
        <v>33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1274.73</v>
      </c>
      <c r="X290" s="6">
        <f>IF(ISERROR(VLOOKUP($U$290,'TAR FIN'!$A$1:$O$85,15,0)),0,VLOOKUP($U$290,'TAR FIN'!$A$1:$O$85,15,0))</f>
        <v>185.74</v>
      </c>
      <c r="Y290" s="6"/>
      <c r="Z290" s="6">
        <f ca="1">('TUSD BE'!$AM$45+'TUSD BF'!$AM$45+'TUSD CVA'!$AM$45)*1</f>
        <v>1451.228185376877</v>
      </c>
      <c r="AA290" s="6">
        <f>('TE BE'!$AB$36+'TE BF'!$AB$36+'TE CVA'!$AB$36)*1</f>
        <v>166.7634981586946</v>
      </c>
      <c r="AB290" s="6">
        <f>$K$290*$V$290</f>
        <v>0</v>
      </c>
      <c r="AC290" s="6">
        <f>$M$290*$W$290</f>
        <v>128.74773000000002</v>
      </c>
      <c r="AD290" s="6">
        <f>$O$290*$X$290</f>
        <v>18.759740000000001</v>
      </c>
      <c r="AE290" s="6">
        <f>$K$290*$Y$290</f>
        <v>0</v>
      </c>
      <c r="AF290" s="6">
        <f ca="1">$M$290*$Z$290</f>
        <v>146.57404672306458</v>
      </c>
      <c r="AG290" s="6">
        <f>$O$290*$AA$290</f>
        <v>16.843113314028155</v>
      </c>
    </row>
    <row r="291" spans="1:33" ht="11.25" customHeight="1" x14ac:dyDescent="0.3">
      <c r="A291" s="4" t="s">
        <v>21</v>
      </c>
      <c r="B291" s="4" t="s">
        <v>35</v>
      </c>
      <c r="C291" s="4" t="s">
        <v>33</v>
      </c>
      <c r="D291" s="4" t="s">
        <v>40</v>
      </c>
      <c r="E291" s="4" t="s">
        <v>25</v>
      </c>
      <c r="F291" s="4" t="s">
        <v>25</v>
      </c>
      <c r="G291" s="4" t="s">
        <v>25</v>
      </c>
      <c r="H291" s="4" t="s">
        <v>39</v>
      </c>
      <c r="I291" s="5">
        <v>44501</v>
      </c>
      <c r="J291" s="6">
        <v>0</v>
      </c>
      <c r="K291" s="6">
        <v>0</v>
      </c>
      <c r="L291" s="6">
        <v>0.10299999999999999</v>
      </c>
      <c r="M291" s="6">
        <v>0.10299999999999999</v>
      </c>
      <c r="N291" s="6">
        <v>0.10299999999999999</v>
      </c>
      <c r="O291" s="6">
        <v>0.10299999999999999</v>
      </c>
      <c r="P291" s="6">
        <v>0</v>
      </c>
      <c r="Q291" s="4" t="s">
        <v>26</v>
      </c>
      <c r="R291" s="4">
        <v>0</v>
      </c>
      <c r="S291" s="6">
        <v>0</v>
      </c>
      <c r="T291" s="6">
        <v>64</v>
      </c>
      <c r="U291" s="6">
        <v>33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1274.73</v>
      </c>
      <c r="X291" s="6">
        <f>IF(ISERROR(VLOOKUP($U$291,'TAR FIN'!$A$1:$O$85,15,0)),0,VLOOKUP($U$291,'TAR FIN'!$A$1:$O$85,15,0))</f>
        <v>185.74</v>
      </c>
      <c r="Y291" s="6"/>
      <c r="Z291" s="6">
        <f ca="1">('TUSD BE'!$AM$45+'TUSD BF'!$AM$45+'TUSD CVA'!$AM$45)*1</f>
        <v>1451.228185376877</v>
      </c>
      <c r="AA291" s="6">
        <f>('TE BE'!$AB$36+'TE BF'!$AB$36+'TE CVA'!$AB$36)*1</f>
        <v>166.7634981586946</v>
      </c>
      <c r="AB291" s="6">
        <f>$K$291*$V$291</f>
        <v>0</v>
      </c>
      <c r="AC291" s="6">
        <f>$M$291*$W$291</f>
        <v>131.29719</v>
      </c>
      <c r="AD291" s="6">
        <f>$O$291*$X$291</f>
        <v>19.131219999999999</v>
      </c>
      <c r="AE291" s="6">
        <f>$K$291*$Y$291</f>
        <v>0</v>
      </c>
      <c r="AF291" s="6">
        <f ca="1">$M$291*$Z$291</f>
        <v>149.47650309381834</v>
      </c>
      <c r="AG291" s="6">
        <f>$O$291*$AA$291</f>
        <v>17.176640310345544</v>
      </c>
    </row>
    <row r="292" spans="1:33" ht="11.25" customHeight="1" x14ac:dyDescent="0.3">
      <c r="A292" s="4" t="s">
        <v>21</v>
      </c>
      <c r="B292" s="4" t="s">
        <v>35</v>
      </c>
      <c r="C292" s="4" t="s">
        <v>33</v>
      </c>
      <c r="D292" s="4" t="s">
        <v>40</v>
      </c>
      <c r="E292" s="4" t="s">
        <v>25</v>
      </c>
      <c r="F292" s="4" t="s">
        <v>25</v>
      </c>
      <c r="G292" s="4" t="s">
        <v>25</v>
      </c>
      <c r="H292" s="4" t="s">
        <v>39</v>
      </c>
      <c r="I292" s="5">
        <v>44531</v>
      </c>
      <c r="J292" s="6">
        <v>0</v>
      </c>
      <c r="K292" s="6">
        <v>0</v>
      </c>
      <c r="L292" s="6">
        <v>9.2999999999999999E-2</v>
      </c>
      <c r="M292" s="6">
        <v>9.2999999999999999E-2</v>
      </c>
      <c r="N292" s="6">
        <v>9.2999999999999999E-2</v>
      </c>
      <c r="O292" s="6">
        <v>9.2999999999999999E-2</v>
      </c>
      <c r="P292" s="6">
        <v>0</v>
      </c>
      <c r="Q292" s="4" t="s">
        <v>26</v>
      </c>
      <c r="R292" s="4">
        <v>0</v>
      </c>
      <c r="S292" s="6">
        <v>0</v>
      </c>
      <c r="T292" s="6">
        <v>64</v>
      </c>
      <c r="U292" s="6">
        <v>33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1274.73</v>
      </c>
      <c r="X292" s="6">
        <f>IF(ISERROR(VLOOKUP($U$292,'TAR FIN'!$A$1:$O$85,15,0)),0,VLOOKUP($U$292,'TAR FIN'!$A$1:$O$85,15,0))</f>
        <v>185.74</v>
      </c>
      <c r="Y292" s="6"/>
      <c r="Z292" s="6">
        <f ca="1">('TUSD BE'!$AM$45+'TUSD BF'!$AM$45+'TUSD CVA'!$AM$45)*1</f>
        <v>1451.228185376877</v>
      </c>
      <c r="AA292" s="6">
        <f>('TE BE'!$AB$36+'TE BF'!$AB$36+'TE CVA'!$AB$36)*1</f>
        <v>166.7634981586946</v>
      </c>
      <c r="AB292" s="6">
        <f>$K$292*$V$292</f>
        <v>0</v>
      </c>
      <c r="AC292" s="6">
        <f>$M$292*$W$292</f>
        <v>118.54989</v>
      </c>
      <c r="AD292" s="6">
        <f>$O$292*$X$292</f>
        <v>17.273820000000001</v>
      </c>
      <c r="AE292" s="6">
        <f>$K$292*$Y$292</f>
        <v>0</v>
      </c>
      <c r="AF292" s="6">
        <f ca="1">$M$292*$Z$292</f>
        <v>134.96422124004957</v>
      </c>
      <c r="AG292" s="6">
        <f>$O$292*$AA$292</f>
        <v>15.509005328758597</v>
      </c>
    </row>
    <row r="293" spans="1:33" ht="11.25" customHeight="1" x14ac:dyDescent="0.3">
      <c r="A293" s="4" t="s">
        <v>21</v>
      </c>
      <c r="B293" s="4" t="s">
        <v>35</v>
      </c>
      <c r="C293" s="4" t="s">
        <v>33</v>
      </c>
      <c r="D293" s="4" t="s">
        <v>40</v>
      </c>
      <c r="E293" s="4" t="s">
        <v>25</v>
      </c>
      <c r="F293" s="4" t="s">
        <v>25</v>
      </c>
      <c r="G293" s="4" t="s">
        <v>25</v>
      </c>
      <c r="H293" s="4" t="s">
        <v>39</v>
      </c>
      <c r="I293" s="5">
        <v>44562</v>
      </c>
      <c r="J293" s="6">
        <v>0</v>
      </c>
      <c r="K293" s="6">
        <v>0</v>
      </c>
      <c r="L293" s="6">
        <v>0.156</v>
      </c>
      <c r="M293" s="6">
        <v>0.156</v>
      </c>
      <c r="N293" s="6">
        <v>0.156</v>
      </c>
      <c r="O293" s="6">
        <v>0.156</v>
      </c>
      <c r="P293" s="6">
        <v>0</v>
      </c>
      <c r="Q293" s="4" t="s">
        <v>26</v>
      </c>
      <c r="R293" s="4">
        <v>0</v>
      </c>
      <c r="S293" s="6">
        <v>0</v>
      </c>
      <c r="T293" s="6">
        <v>64</v>
      </c>
      <c r="U293" s="6">
        <v>33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1274.73</v>
      </c>
      <c r="X293" s="6">
        <f>IF(ISERROR(VLOOKUP($U$293,'TAR FIN'!$A$1:$O$85,15,0)),0,VLOOKUP($U$293,'TAR FIN'!$A$1:$O$85,15,0))</f>
        <v>185.74</v>
      </c>
      <c r="Y293" s="6"/>
      <c r="Z293" s="6">
        <f ca="1">('TUSD BE'!$AM$45+'TUSD BF'!$AM$45+'TUSD CVA'!$AM$45)*1</f>
        <v>1451.228185376877</v>
      </c>
      <c r="AA293" s="6">
        <f>('TE BE'!$AB$36+'TE BF'!$AB$36+'TE CVA'!$AB$36)*1</f>
        <v>166.7634981586946</v>
      </c>
      <c r="AB293" s="6">
        <f>$K$293*$V$293</f>
        <v>0</v>
      </c>
      <c r="AC293" s="6">
        <f>$M$293*$W$293</f>
        <v>198.85787999999999</v>
      </c>
      <c r="AD293" s="6">
        <f>$O$293*$X$293</f>
        <v>28.975440000000003</v>
      </c>
      <c r="AE293" s="6">
        <f>$K$293*$Y$293</f>
        <v>0</v>
      </c>
      <c r="AF293" s="6">
        <f ca="1">$M$293*$Z$293</f>
        <v>226.39159691879283</v>
      </c>
      <c r="AG293" s="6">
        <f>$O$293*$AA$293</f>
        <v>26.015105712756359</v>
      </c>
    </row>
    <row r="294" spans="1:33" ht="11.25" customHeight="1" x14ac:dyDescent="0.3">
      <c r="A294" s="4" t="s">
        <v>21</v>
      </c>
      <c r="B294" s="4" t="s">
        <v>35</v>
      </c>
      <c r="C294" s="4" t="s">
        <v>33</v>
      </c>
      <c r="D294" s="4" t="s">
        <v>40</v>
      </c>
      <c r="E294" s="4" t="s">
        <v>25</v>
      </c>
      <c r="F294" s="4" t="s">
        <v>25</v>
      </c>
      <c r="G294" s="4" t="s">
        <v>25</v>
      </c>
      <c r="H294" s="4" t="s">
        <v>39</v>
      </c>
      <c r="I294" s="5">
        <v>44593</v>
      </c>
      <c r="J294" s="6">
        <v>0</v>
      </c>
      <c r="K294" s="6">
        <v>0</v>
      </c>
      <c r="L294" s="6">
        <v>0.184</v>
      </c>
      <c r="M294" s="6">
        <v>0.184</v>
      </c>
      <c r="N294" s="6">
        <v>0.184</v>
      </c>
      <c r="O294" s="6">
        <v>0.184</v>
      </c>
      <c r="P294" s="6">
        <v>0</v>
      </c>
      <c r="Q294" s="4" t="s">
        <v>26</v>
      </c>
      <c r="R294" s="4">
        <v>0</v>
      </c>
      <c r="S294" s="6">
        <v>0</v>
      </c>
      <c r="T294" s="6">
        <v>64</v>
      </c>
      <c r="U294" s="6">
        <v>33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1274.73</v>
      </c>
      <c r="X294" s="6">
        <f>IF(ISERROR(VLOOKUP($U$294,'TAR FIN'!$A$1:$O$85,15,0)),0,VLOOKUP($U$294,'TAR FIN'!$A$1:$O$85,15,0))</f>
        <v>185.74</v>
      </c>
      <c r="Y294" s="6"/>
      <c r="Z294" s="6">
        <f ca="1">('TUSD BE'!$AM$45+'TUSD BF'!$AM$45+'TUSD CVA'!$AM$45)*1</f>
        <v>1451.228185376877</v>
      </c>
      <c r="AA294" s="6">
        <f>('TE BE'!$AB$36+'TE BF'!$AB$36+'TE CVA'!$AB$36)*1</f>
        <v>166.7634981586946</v>
      </c>
      <c r="AB294" s="6">
        <f>$K$294*$V$294</f>
        <v>0</v>
      </c>
      <c r="AC294" s="6">
        <f>$M$294*$W$294</f>
        <v>234.55032</v>
      </c>
      <c r="AD294" s="6">
        <f>$O$294*$X$294</f>
        <v>34.176160000000003</v>
      </c>
      <c r="AE294" s="6">
        <f>$K$294*$Y$294</f>
        <v>0</v>
      </c>
      <c r="AF294" s="6">
        <f ca="1">$M$294*$Z$294</f>
        <v>267.02598610934535</v>
      </c>
      <c r="AG294" s="6">
        <f>$O$294*$AA$294</f>
        <v>30.684483661199806</v>
      </c>
    </row>
    <row r="295" spans="1:33" ht="11.25" customHeight="1" x14ac:dyDescent="0.3">
      <c r="A295" s="4" t="s">
        <v>21</v>
      </c>
      <c r="B295" s="4" t="s">
        <v>35</v>
      </c>
      <c r="C295" s="4" t="s">
        <v>23</v>
      </c>
      <c r="D295" s="4" t="s">
        <v>40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44440</v>
      </c>
      <c r="J295" s="6">
        <v>0</v>
      </c>
      <c r="K295" s="6">
        <v>0</v>
      </c>
      <c r="L295" s="6">
        <v>141.58799999999999</v>
      </c>
      <c r="M295" s="6">
        <v>141.58799999999999</v>
      </c>
      <c r="N295" s="6">
        <v>141.58799999999999</v>
      </c>
      <c r="O295" s="6">
        <v>141.58799999999999</v>
      </c>
      <c r="P295" s="6">
        <v>365</v>
      </c>
      <c r="Q295" s="4" t="s">
        <v>26</v>
      </c>
      <c r="R295" s="4">
        <v>0</v>
      </c>
      <c r="S295" s="6">
        <v>0</v>
      </c>
      <c r="T295" s="6">
        <v>67</v>
      </c>
      <c r="U295" s="6">
        <v>39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442.96</v>
      </c>
      <c r="X295" s="6">
        <f>IF(ISERROR(VLOOKUP($U$295,'TAR FIN'!$A$1:$O$85,15,0)),0,VLOOKUP($U$295,'TAR FIN'!$A$1:$O$85,15,0))</f>
        <v>185.74</v>
      </c>
      <c r="Y295" s="6"/>
      <c r="Z295" s="6">
        <f ca="1">('TUSD BE'!$AM$48+'TUSD BF'!$AM$48+'TUSD CVA'!$AM$48)*1</f>
        <v>519.26043781347539</v>
      </c>
      <c r="AA295" s="6">
        <f>('TE BE'!$AB$39+'TE BF'!$AB$39+'TE CVA'!$AB$39)*1</f>
        <v>166.7634981586946</v>
      </c>
      <c r="AB295" s="6">
        <f>$K$295*$V$295</f>
        <v>0</v>
      </c>
      <c r="AC295" s="6">
        <f>$M$295*$W$295</f>
        <v>62717.820479999995</v>
      </c>
      <c r="AD295" s="6">
        <f>$O$295*$X$295</f>
        <v>26298.555120000001</v>
      </c>
      <c r="AE295" s="6">
        <f>$K$295*$Y$295</f>
        <v>0</v>
      </c>
      <c r="AF295" s="6">
        <f ca="1">$M$295*$Z$295</f>
        <v>73521.046869134356</v>
      </c>
      <c r="AG295" s="6">
        <f>$O$295*$AA$295</f>
        <v>23611.710177293251</v>
      </c>
    </row>
    <row r="296" spans="1:33" ht="11.25" customHeight="1" x14ac:dyDescent="0.3">
      <c r="A296" s="4" t="s">
        <v>28</v>
      </c>
      <c r="B296" s="4" t="s">
        <v>35</v>
      </c>
      <c r="C296" s="4" t="s">
        <v>23</v>
      </c>
      <c r="D296" s="4" t="s">
        <v>40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44440</v>
      </c>
      <c r="J296" s="6">
        <v>0</v>
      </c>
      <c r="K296" s="6">
        <v>0</v>
      </c>
      <c r="L296" s="6">
        <v>6.593</v>
      </c>
      <c r="M296" s="6">
        <v>6.593</v>
      </c>
      <c r="N296" s="6">
        <v>6.593</v>
      </c>
      <c r="O296" s="6">
        <v>6.593</v>
      </c>
      <c r="P296" s="6">
        <v>10</v>
      </c>
      <c r="Q296" s="4" t="s">
        <v>26</v>
      </c>
      <c r="R296" s="4">
        <v>0</v>
      </c>
      <c r="S296" s="6">
        <v>0</v>
      </c>
      <c r="T296" s="6">
        <v>67</v>
      </c>
      <c r="U296" s="6">
        <v>39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442.96</v>
      </c>
      <c r="X296" s="6">
        <f>IF(ISERROR(VLOOKUP($U$296,'TAR FIN'!$A$1:$O$85,15,0)),0,VLOOKUP($U$296,'TAR FIN'!$A$1:$O$85,15,0))</f>
        <v>185.74</v>
      </c>
      <c r="Y296" s="6"/>
      <c r="Z296" s="6">
        <f ca="1">('TUSD BE'!$AM$48+'TUSD BF'!$AM$48+'TUSD CVA'!$AM$48)*1</f>
        <v>519.26043781347539</v>
      </c>
      <c r="AA296" s="6">
        <f>('TE BE'!$AB$39+'TE BF'!$AB$39+'TE CVA'!$AB$39)*1</f>
        <v>166.7634981586946</v>
      </c>
      <c r="AB296" s="6">
        <f>$K$296*$V$296</f>
        <v>0</v>
      </c>
      <c r="AC296" s="6">
        <f>$M$296*$W$296</f>
        <v>2920.4352799999997</v>
      </c>
      <c r="AD296" s="6">
        <f>$O$296*$X$296</f>
        <v>1224.5838200000001</v>
      </c>
      <c r="AE296" s="6">
        <f>$K$296*$Y$296</f>
        <v>0</v>
      </c>
      <c r="AF296" s="6">
        <f ca="1">$M$296*$Z$296</f>
        <v>3423.4840665042434</v>
      </c>
      <c r="AG296" s="6">
        <f>$O$296*$AA$296</f>
        <v>1099.4717433602734</v>
      </c>
    </row>
    <row r="297" spans="1:33" ht="11.25" customHeight="1" x14ac:dyDescent="0.3">
      <c r="A297" s="4" t="s">
        <v>21</v>
      </c>
      <c r="B297" s="4" t="s">
        <v>35</v>
      </c>
      <c r="C297" s="4" t="s">
        <v>23</v>
      </c>
      <c r="D297" s="4" t="s">
        <v>40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44470</v>
      </c>
      <c r="J297" s="6">
        <v>0</v>
      </c>
      <c r="K297" s="6">
        <v>0</v>
      </c>
      <c r="L297" s="6">
        <v>148.98599999999999</v>
      </c>
      <c r="M297" s="6">
        <v>148.98599999999999</v>
      </c>
      <c r="N297" s="6">
        <v>148.98599999999999</v>
      </c>
      <c r="O297" s="6">
        <v>148.98599999999999</v>
      </c>
      <c r="P297" s="6">
        <v>364</v>
      </c>
      <c r="Q297" s="4" t="s">
        <v>26</v>
      </c>
      <c r="R297" s="4">
        <v>0</v>
      </c>
      <c r="S297" s="6">
        <v>0</v>
      </c>
      <c r="T297" s="6">
        <v>67</v>
      </c>
      <c r="U297" s="6">
        <v>39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442.96</v>
      </c>
      <c r="X297" s="6">
        <f>IF(ISERROR(VLOOKUP($U$297,'TAR FIN'!$A$1:$O$85,15,0)),0,VLOOKUP($U$297,'TAR FIN'!$A$1:$O$85,15,0))</f>
        <v>185.74</v>
      </c>
      <c r="Y297" s="6"/>
      <c r="Z297" s="6">
        <f ca="1">('TUSD BE'!$AM$48+'TUSD BF'!$AM$48+'TUSD CVA'!$AM$48)*1</f>
        <v>519.26043781347539</v>
      </c>
      <c r="AA297" s="6">
        <f>('TE BE'!$AB$39+'TE BF'!$AB$39+'TE CVA'!$AB$39)*1</f>
        <v>166.7634981586946</v>
      </c>
      <c r="AB297" s="6">
        <f>$K$297*$V$297</f>
        <v>0</v>
      </c>
      <c r="AC297" s="6">
        <f>$M$297*$W$297</f>
        <v>65994.838559999989</v>
      </c>
      <c r="AD297" s="6">
        <f>$O$297*$X$297</f>
        <v>27672.659639999998</v>
      </c>
      <c r="AE297" s="6">
        <f>$K$297*$Y$297</f>
        <v>0</v>
      </c>
      <c r="AF297" s="6">
        <f ca="1">$M$297*$Z$297</f>
        <v>77362.535588078434</v>
      </c>
      <c r="AG297" s="6">
        <f>$O$297*$AA$297</f>
        <v>24845.426536671272</v>
      </c>
    </row>
    <row r="298" spans="1:33" ht="11.25" customHeight="1" x14ac:dyDescent="0.3">
      <c r="A298" s="4" t="s">
        <v>27</v>
      </c>
      <c r="B298" s="4" t="s">
        <v>35</v>
      </c>
      <c r="C298" s="4" t="s">
        <v>23</v>
      </c>
      <c r="D298" s="4" t="s">
        <v>40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44470</v>
      </c>
      <c r="J298" s="6">
        <v>0</v>
      </c>
      <c r="K298" s="6">
        <v>0</v>
      </c>
      <c r="L298" s="6">
        <v>-4.0990000000000002</v>
      </c>
      <c r="M298" s="6">
        <v>-4.0990000000000002</v>
      </c>
      <c r="N298" s="6">
        <v>-4.0990000000000002</v>
      </c>
      <c r="O298" s="6">
        <v>-4.0990000000000002</v>
      </c>
      <c r="P298" s="6">
        <v>0</v>
      </c>
      <c r="Q298" s="4" t="s">
        <v>26</v>
      </c>
      <c r="R298" s="4">
        <v>0</v>
      </c>
      <c r="S298" s="6">
        <v>0</v>
      </c>
      <c r="T298" s="6">
        <v>67</v>
      </c>
      <c r="U298" s="6">
        <v>39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442.96</v>
      </c>
      <c r="X298" s="6">
        <f>IF(ISERROR(VLOOKUP($U$298,'TAR FIN'!$A$1:$O$85,15,0)),0,VLOOKUP($U$298,'TAR FIN'!$A$1:$O$85,15,0))</f>
        <v>185.74</v>
      </c>
      <c r="Y298" s="6"/>
      <c r="Z298" s="6">
        <f ca="1">('TUSD BE'!$AM$48+'TUSD BF'!$AM$48+'TUSD CVA'!$AM$48)*1</f>
        <v>519.26043781347539</v>
      </c>
      <c r="AA298" s="6">
        <f>('TE BE'!$AB$39+'TE BF'!$AB$39+'TE CVA'!$AB$39)*1</f>
        <v>166.7634981586946</v>
      </c>
      <c r="AB298" s="6">
        <f>$K$298*$V$298</f>
        <v>0</v>
      </c>
      <c r="AC298" s="6">
        <f>$M$298*$W$298</f>
        <v>-1815.6930400000001</v>
      </c>
      <c r="AD298" s="6">
        <f>$O$298*$X$298</f>
        <v>-761.3482600000001</v>
      </c>
      <c r="AE298" s="6">
        <f>$K$298*$Y$298</f>
        <v>0</v>
      </c>
      <c r="AF298" s="6">
        <f ca="1">$M$298*$Z$298</f>
        <v>-2128.4485345974358</v>
      </c>
      <c r="AG298" s="6">
        <f>$O$298*$AA$298</f>
        <v>-683.56357895248925</v>
      </c>
    </row>
    <row r="299" spans="1:33" ht="11.25" customHeight="1" x14ac:dyDescent="0.3">
      <c r="A299" s="4" t="s">
        <v>28</v>
      </c>
      <c r="B299" s="4" t="s">
        <v>35</v>
      </c>
      <c r="C299" s="4" t="s">
        <v>23</v>
      </c>
      <c r="D299" s="4" t="s">
        <v>40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44470</v>
      </c>
      <c r="J299" s="6">
        <v>0</v>
      </c>
      <c r="K299" s="6">
        <v>0</v>
      </c>
      <c r="L299" s="6">
        <v>7.1440000000000001</v>
      </c>
      <c r="M299" s="6">
        <v>7.1440000000000001</v>
      </c>
      <c r="N299" s="6">
        <v>7.1440000000000001</v>
      </c>
      <c r="O299" s="6">
        <v>7.1440000000000001</v>
      </c>
      <c r="P299" s="6">
        <v>10</v>
      </c>
      <c r="Q299" s="4" t="s">
        <v>26</v>
      </c>
      <c r="R299" s="4">
        <v>0</v>
      </c>
      <c r="S299" s="6">
        <v>0</v>
      </c>
      <c r="T299" s="6">
        <v>67</v>
      </c>
      <c r="U299" s="6">
        <v>39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442.96</v>
      </c>
      <c r="X299" s="6">
        <f>IF(ISERROR(VLOOKUP($U$299,'TAR FIN'!$A$1:$O$85,15,0)),0,VLOOKUP($U$299,'TAR FIN'!$A$1:$O$85,15,0))</f>
        <v>185.74</v>
      </c>
      <c r="Y299" s="6"/>
      <c r="Z299" s="6">
        <f ca="1">('TUSD BE'!$AM$48+'TUSD BF'!$AM$48+'TUSD CVA'!$AM$48)*1</f>
        <v>519.26043781347539</v>
      </c>
      <c r="AA299" s="6">
        <f>('TE BE'!$AB$39+'TE BF'!$AB$39+'TE CVA'!$AB$39)*1</f>
        <v>166.7634981586946</v>
      </c>
      <c r="AB299" s="6">
        <f>$K$299*$V$299</f>
        <v>0</v>
      </c>
      <c r="AC299" s="6">
        <f>$M$299*$W$299</f>
        <v>3164.5062399999997</v>
      </c>
      <c r="AD299" s="6">
        <f>$O$299*$X$299</f>
        <v>1326.9265600000001</v>
      </c>
      <c r="AE299" s="6">
        <f>$K$299*$Y$299</f>
        <v>0</v>
      </c>
      <c r="AF299" s="6">
        <f ca="1">$M$299*$Z$299</f>
        <v>3709.5965677394684</v>
      </c>
      <c r="AG299" s="6">
        <f>$O$299*$AA$299</f>
        <v>1191.3584308457143</v>
      </c>
    </row>
    <row r="300" spans="1:33" ht="11.25" customHeight="1" x14ac:dyDescent="0.3">
      <c r="A300" s="4" t="s">
        <v>28</v>
      </c>
      <c r="B300" s="4" t="s">
        <v>35</v>
      </c>
      <c r="C300" s="4" t="s">
        <v>23</v>
      </c>
      <c r="D300" s="4" t="s">
        <v>40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44470</v>
      </c>
      <c r="J300" s="6">
        <v>0</v>
      </c>
      <c r="K300" s="6">
        <v>0</v>
      </c>
      <c r="L300" s="6">
        <v>-0.90400000000000003</v>
      </c>
      <c r="M300" s="6">
        <v>-0.90400000000000003</v>
      </c>
      <c r="N300" s="6">
        <v>-0.90400000000000003</v>
      </c>
      <c r="O300" s="6">
        <v>-0.90400000000000003</v>
      </c>
      <c r="P300" s="6">
        <v>1</v>
      </c>
      <c r="Q300" s="4" t="s">
        <v>26</v>
      </c>
      <c r="R300" s="4">
        <v>0</v>
      </c>
      <c r="S300" s="6">
        <v>0</v>
      </c>
      <c r="T300" s="6">
        <v>67</v>
      </c>
      <c r="U300" s="6">
        <v>39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442.96</v>
      </c>
      <c r="X300" s="6">
        <f>IF(ISERROR(VLOOKUP($U$300,'TAR FIN'!$A$1:$O$85,15,0)),0,VLOOKUP($U$300,'TAR FIN'!$A$1:$O$85,15,0))</f>
        <v>185.74</v>
      </c>
      <c r="Y300" s="6"/>
      <c r="Z300" s="6">
        <f ca="1">('TUSD BE'!$AM$48+'TUSD BF'!$AM$48+'TUSD CVA'!$AM$48)*1</f>
        <v>519.26043781347539</v>
      </c>
      <c r="AA300" s="6">
        <f>('TE BE'!$AB$39+'TE BF'!$AB$39+'TE CVA'!$AB$39)*1</f>
        <v>166.7634981586946</v>
      </c>
      <c r="AB300" s="6">
        <f>$K$300*$V$300</f>
        <v>0</v>
      </c>
      <c r="AC300" s="6">
        <f>$M$300*$W$300</f>
        <v>-400.43583999999998</v>
      </c>
      <c r="AD300" s="6">
        <f>$O$300*$X$300</f>
        <v>-167.90896000000001</v>
      </c>
      <c r="AE300" s="6">
        <f>$K$300*$Y$300</f>
        <v>0</v>
      </c>
      <c r="AF300" s="6">
        <f ca="1">$M$300*$Z$300</f>
        <v>-469.41143578338176</v>
      </c>
      <c r="AG300" s="6">
        <f>$O$300*$AA$300</f>
        <v>-150.75420233545992</v>
      </c>
    </row>
    <row r="301" spans="1:33" ht="11.25" customHeight="1" x14ac:dyDescent="0.3">
      <c r="A301" s="4" t="s">
        <v>21</v>
      </c>
      <c r="B301" s="4" t="s">
        <v>35</v>
      </c>
      <c r="C301" s="4" t="s">
        <v>23</v>
      </c>
      <c r="D301" s="4" t="s">
        <v>40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44501</v>
      </c>
      <c r="J301" s="6">
        <v>0</v>
      </c>
      <c r="K301" s="6">
        <v>0</v>
      </c>
      <c r="L301" s="6">
        <v>148.084</v>
      </c>
      <c r="M301" s="6">
        <v>148.084</v>
      </c>
      <c r="N301" s="6">
        <v>148.084</v>
      </c>
      <c r="O301" s="6">
        <v>148.084</v>
      </c>
      <c r="P301" s="6">
        <v>368</v>
      </c>
      <c r="Q301" s="4" t="s">
        <v>26</v>
      </c>
      <c r="R301" s="4">
        <v>0</v>
      </c>
      <c r="S301" s="6">
        <v>0</v>
      </c>
      <c r="T301" s="6">
        <v>67</v>
      </c>
      <c r="U301" s="6">
        <v>39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442.96</v>
      </c>
      <c r="X301" s="6">
        <f>IF(ISERROR(VLOOKUP($U$301,'TAR FIN'!$A$1:$O$85,15,0)),0,VLOOKUP($U$301,'TAR FIN'!$A$1:$O$85,15,0))</f>
        <v>185.74</v>
      </c>
      <c r="Y301" s="6"/>
      <c r="Z301" s="6">
        <f ca="1">('TUSD BE'!$AM$48+'TUSD BF'!$AM$48+'TUSD CVA'!$AM$48)*1</f>
        <v>519.26043781347539</v>
      </c>
      <c r="AA301" s="6">
        <f>('TE BE'!$AB$39+'TE BF'!$AB$39+'TE CVA'!$AB$39)*1</f>
        <v>166.7634981586946</v>
      </c>
      <c r="AB301" s="6">
        <f>$K$301*$V$301</f>
        <v>0</v>
      </c>
      <c r="AC301" s="6">
        <f>$M$301*$W$301</f>
        <v>65595.288639999999</v>
      </c>
      <c r="AD301" s="6">
        <f>$O$301*$X$301</f>
        <v>27505.122160000003</v>
      </c>
      <c r="AE301" s="6">
        <f>$K$301*$Y$301</f>
        <v>0</v>
      </c>
      <c r="AF301" s="6">
        <f ca="1">$M$301*$Z$301</f>
        <v>76894.162673170693</v>
      </c>
      <c r="AG301" s="6">
        <f>$O$301*$AA$301</f>
        <v>24695.005861332131</v>
      </c>
    </row>
    <row r="302" spans="1:33" ht="11.25" customHeight="1" x14ac:dyDescent="0.3">
      <c r="A302" s="4" t="s">
        <v>28</v>
      </c>
      <c r="B302" s="4" t="s">
        <v>35</v>
      </c>
      <c r="C302" s="4" t="s">
        <v>23</v>
      </c>
      <c r="D302" s="4" t="s">
        <v>40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44501</v>
      </c>
      <c r="J302" s="6">
        <v>0</v>
      </c>
      <c r="K302" s="6">
        <v>0</v>
      </c>
      <c r="L302" s="6">
        <v>4.8929999999999998</v>
      </c>
      <c r="M302" s="6">
        <v>4.8929999999999998</v>
      </c>
      <c r="N302" s="6">
        <v>4.8929999999999998</v>
      </c>
      <c r="O302" s="6">
        <v>4.8929999999999998</v>
      </c>
      <c r="P302" s="6">
        <v>10</v>
      </c>
      <c r="Q302" s="4" t="s">
        <v>26</v>
      </c>
      <c r="R302" s="4">
        <v>0</v>
      </c>
      <c r="S302" s="6">
        <v>0</v>
      </c>
      <c r="T302" s="6">
        <v>67</v>
      </c>
      <c r="U302" s="6">
        <v>39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442.96</v>
      </c>
      <c r="X302" s="6">
        <f>IF(ISERROR(VLOOKUP($U$302,'TAR FIN'!$A$1:$O$85,15,0)),0,VLOOKUP($U$302,'TAR FIN'!$A$1:$O$85,15,0))</f>
        <v>185.74</v>
      </c>
      <c r="Y302" s="6"/>
      <c r="Z302" s="6">
        <f ca="1">('TUSD BE'!$AM$48+'TUSD BF'!$AM$48+'TUSD CVA'!$AM$48)*1</f>
        <v>519.26043781347539</v>
      </c>
      <c r="AA302" s="6">
        <f>('TE BE'!$AB$39+'TE BF'!$AB$39+'TE CVA'!$AB$39)*1</f>
        <v>166.7634981586946</v>
      </c>
      <c r="AB302" s="6">
        <f>$K$302*$V$302</f>
        <v>0</v>
      </c>
      <c r="AC302" s="6">
        <f>$M$302*$W$302</f>
        <v>2167.40328</v>
      </c>
      <c r="AD302" s="6">
        <f>$O$302*$X$302</f>
        <v>908.82582000000002</v>
      </c>
      <c r="AE302" s="6">
        <f>$K$302*$Y$302</f>
        <v>0</v>
      </c>
      <c r="AF302" s="6">
        <f ca="1">$M$302*$Z$302</f>
        <v>2540.7413222213349</v>
      </c>
      <c r="AG302" s="6">
        <f>$O$302*$AA$302</f>
        <v>815.97379649049265</v>
      </c>
    </row>
    <row r="303" spans="1:33" ht="11.25" customHeight="1" x14ac:dyDescent="0.3">
      <c r="A303" s="4" t="s">
        <v>21</v>
      </c>
      <c r="B303" s="4" t="s">
        <v>35</v>
      </c>
      <c r="C303" s="4" t="s">
        <v>23</v>
      </c>
      <c r="D303" s="4" t="s">
        <v>40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44531</v>
      </c>
      <c r="J303" s="6">
        <v>0</v>
      </c>
      <c r="K303" s="6">
        <v>0</v>
      </c>
      <c r="L303" s="6">
        <v>154.45699999999999</v>
      </c>
      <c r="M303" s="6">
        <v>154.45699999999999</v>
      </c>
      <c r="N303" s="6">
        <v>154.45699999999999</v>
      </c>
      <c r="O303" s="6">
        <v>154.45699999999999</v>
      </c>
      <c r="P303" s="6">
        <v>369</v>
      </c>
      <c r="Q303" s="4" t="s">
        <v>26</v>
      </c>
      <c r="R303" s="4">
        <v>0</v>
      </c>
      <c r="S303" s="6">
        <v>0</v>
      </c>
      <c r="T303" s="6">
        <v>67</v>
      </c>
      <c r="U303" s="6">
        <v>39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442.96</v>
      </c>
      <c r="X303" s="6">
        <f>IF(ISERROR(VLOOKUP($U$303,'TAR FIN'!$A$1:$O$85,15,0)),0,VLOOKUP($U$303,'TAR FIN'!$A$1:$O$85,15,0))</f>
        <v>185.74</v>
      </c>
      <c r="Y303" s="6"/>
      <c r="Z303" s="6">
        <f ca="1">('TUSD BE'!$AM$48+'TUSD BF'!$AM$48+'TUSD CVA'!$AM$48)*1</f>
        <v>519.26043781347539</v>
      </c>
      <c r="AA303" s="6">
        <f>('TE BE'!$AB$39+'TE BF'!$AB$39+'TE CVA'!$AB$39)*1</f>
        <v>166.7634981586946</v>
      </c>
      <c r="AB303" s="6">
        <f>$K$303*$V$303</f>
        <v>0</v>
      </c>
      <c r="AC303" s="6">
        <f>$M$303*$W$303</f>
        <v>68418.272719999994</v>
      </c>
      <c r="AD303" s="6">
        <f>$O$303*$X$303</f>
        <v>28688.84318</v>
      </c>
      <c r="AE303" s="6">
        <f>$K$303*$Y$303</f>
        <v>0</v>
      </c>
      <c r="AF303" s="6">
        <f ca="1">$M$303*$Z$303</f>
        <v>80203.409443355966</v>
      </c>
      <c r="AG303" s="6">
        <f>$O$303*$AA$303</f>
        <v>25757.789635097492</v>
      </c>
    </row>
    <row r="304" spans="1:33" ht="11.25" customHeight="1" x14ac:dyDescent="0.3">
      <c r="A304" s="4" t="s">
        <v>28</v>
      </c>
      <c r="B304" s="4" t="s">
        <v>35</v>
      </c>
      <c r="C304" s="4" t="s">
        <v>23</v>
      </c>
      <c r="D304" s="4" t="s">
        <v>40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44531</v>
      </c>
      <c r="J304" s="6">
        <v>0</v>
      </c>
      <c r="K304" s="6">
        <v>0</v>
      </c>
      <c r="L304" s="6">
        <v>4.7809999999999997</v>
      </c>
      <c r="M304" s="6">
        <v>4.7809999999999997</v>
      </c>
      <c r="N304" s="6">
        <v>4.7809999999999997</v>
      </c>
      <c r="O304" s="6">
        <v>4.7809999999999997</v>
      </c>
      <c r="P304" s="6">
        <v>10</v>
      </c>
      <c r="Q304" s="4" t="s">
        <v>26</v>
      </c>
      <c r="R304" s="4">
        <v>0</v>
      </c>
      <c r="S304" s="6">
        <v>0</v>
      </c>
      <c r="T304" s="6">
        <v>67</v>
      </c>
      <c r="U304" s="6">
        <v>39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442.96</v>
      </c>
      <c r="X304" s="6">
        <f>IF(ISERROR(VLOOKUP($U$304,'TAR FIN'!$A$1:$O$85,15,0)),0,VLOOKUP($U$304,'TAR FIN'!$A$1:$O$85,15,0))</f>
        <v>185.74</v>
      </c>
      <c r="Y304" s="6"/>
      <c r="Z304" s="6">
        <f ca="1">('TUSD BE'!$AM$48+'TUSD BF'!$AM$48+'TUSD CVA'!$AM$48)*1</f>
        <v>519.26043781347539</v>
      </c>
      <c r="AA304" s="6">
        <f>('TE BE'!$AB$39+'TE BF'!$AB$39+'TE CVA'!$AB$39)*1</f>
        <v>166.7634981586946</v>
      </c>
      <c r="AB304" s="6">
        <f>$K$304*$V$304</f>
        <v>0</v>
      </c>
      <c r="AC304" s="6">
        <f>$M$304*$W$304</f>
        <v>2117.7917599999996</v>
      </c>
      <c r="AD304" s="6">
        <f>$O$304*$X$304</f>
        <v>888.02293999999995</v>
      </c>
      <c r="AE304" s="6">
        <f>$K$304*$Y$304</f>
        <v>0</v>
      </c>
      <c r="AF304" s="6">
        <f ca="1">$M$304*$Z$304</f>
        <v>2482.5841531862256</v>
      </c>
      <c r="AG304" s="6">
        <f>$O$304*$AA$304</f>
        <v>797.29628469671889</v>
      </c>
    </row>
    <row r="305" spans="1:33" ht="11.25" customHeight="1" x14ac:dyDescent="0.3">
      <c r="A305" s="4" t="s">
        <v>21</v>
      </c>
      <c r="B305" s="4" t="s">
        <v>35</v>
      </c>
      <c r="C305" s="4" t="s">
        <v>23</v>
      </c>
      <c r="D305" s="4" t="s">
        <v>40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44562</v>
      </c>
      <c r="J305" s="6">
        <v>0</v>
      </c>
      <c r="K305" s="6">
        <v>0</v>
      </c>
      <c r="L305" s="6">
        <v>183.55799999999999</v>
      </c>
      <c r="M305" s="6">
        <v>183.55799999999999</v>
      </c>
      <c r="N305" s="6">
        <v>183.55799999999999</v>
      </c>
      <c r="O305" s="6">
        <v>183.55799999999999</v>
      </c>
      <c r="P305" s="6">
        <v>371</v>
      </c>
      <c r="Q305" s="4" t="s">
        <v>26</v>
      </c>
      <c r="R305" s="4">
        <v>0</v>
      </c>
      <c r="S305" s="6">
        <v>0</v>
      </c>
      <c r="T305" s="6">
        <v>67</v>
      </c>
      <c r="U305" s="6">
        <v>39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442.96</v>
      </c>
      <c r="X305" s="6">
        <f>IF(ISERROR(VLOOKUP($U$305,'TAR FIN'!$A$1:$O$85,15,0)),0,VLOOKUP($U$305,'TAR FIN'!$A$1:$O$85,15,0))</f>
        <v>185.74</v>
      </c>
      <c r="Y305" s="6"/>
      <c r="Z305" s="6">
        <f ca="1">('TUSD BE'!$AM$48+'TUSD BF'!$AM$48+'TUSD CVA'!$AM$48)*1</f>
        <v>519.26043781347539</v>
      </c>
      <c r="AA305" s="6">
        <f>('TE BE'!$AB$39+'TE BF'!$AB$39+'TE CVA'!$AB$39)*1</f>
        <v>166.7634981586946</v>
      </c>
      <c r="AB305" s="6">
        <f>$K$305*$V$305</f>
        <v>0</v>
      </c>
      <c r="AC305" s="6">
        <f>$M$305*$W$305</f>
        <v>81308.851679999992</v>
      </c>
      <c r="AD305" s="6">
        <f>$O$305*$X$305</f>
        <v>34094.062920000004</v>
      </c>
      <c r="AE305" s="6">
        <f>$K$305*$Y$305</f>
        <v>0</v>
      </c>
      <c r="AF305" s="6">
        <f ca="1">$M$305*$Z$305</f>
        <v>95314.407444165918</v>
      </c>
      <c r="AG305" s="6">
        <f>$O$305*$AA$305</f>
        <v>30610.774195013662</v>
      </c>
    </row>
    <row r="306" spans="1:33" ht="11.25" customHeight="1" x14ac:dyDescent="0.3">
      <c r="A306" s="4" t="s">
        <v>27</v>
      </c>
      <c r="B306" s="4" t="s">
        <v>35</v>
      </c>
      <c r="C306" s="4" t="s">
        <v>23</v>
      </c>
      <c r="D306" s="4" t="s">
        <v>40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44562</v>
      </c>
      <c r="J306" s="6">
        <v>0</v>
      </c>
      <c r="K306" s="6">
        <v>0</v>
      </c>
      <c r="L306" s="6">
        <v>2.2679999999999998</v>
      </c>
      <c r="M306" s="6">
        <v>2.2679999999999998</v>
      </c>
      <c r="N306" s="6">
        <v>2.2679999999999998</v>
      </c>
      <c r="O306" s="6">
        <v>2.2679999999999998</v>
      </c>
      <c r="P306" s="6">
        <v>0</v>
      </c>
      <c r="Q306" s="4" t="s">
        <v>26</v>
      </c>
      <c r="R306" s="4">
        <v>0</v>
      </c>
      <c r="S306" s="6">
        <v>0</v>
      </c>
      <c r="T306" s="6">
        <v>67</v>
      </c>
      <c r="U306" s="6">
        <v>39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442.96</v>
      </c>
      <c r="X306" s="6">
        <f>IF(ISERROR(VLOOKUP($U$306,'TAR FIN'!$A$1:$O$85,15,0)),0,VLOOKUP($U$306,'TAR FIN'!$A$1:$O$85,15,0))</f>
        <v>185.74</v>
      </c>
      <c r="Y306" s="6"/>
      <c r="Z306" s="6">
        <f ca="1">('TUSD BE'!$AM$48+'TUSD BF'!$AM$48+'TUSD CVA'!$AM$48)*1</f>
        <v>519.26043781347539</v>
      </c>
      <c r="AA306" s="6">
        <f>('TE BE'!$AB$39+'TE BF'!$AB$39+'TE CVA'!$AB$39)*1</f>
        <v>166.7634981586946</v>
      </c>
      <c r="AB306" s="6">
        <f>$K$306*$V$306</f>
        <v>0</v>
      </c>
      <c r="AC306" s="6">
        <f>$M$306*$W$306</f>
        <v>1004.6332799999999</v>
      </c>
      <c r="AD306" s="6">
        <f>$O$306*$X$306</f>
        <v>421.25831999999997</v>
      </c>
      <c r="AE306" s="6">
        <f>$K$306*$Y$306</f>
        <v>0</v>
      </c>
      <c r="AF306" s="6">
        <f ca="1">$M$306*$Z$306</f>
        <v>1177.682672960962</v>
      </c>
      <c r="AG306" s="6">
        <f>$O$306*$AA$306</f>
        <v>378.2196138239193</v>
      </c>
    </row>
    <row r="307" spans="1:33" ht="11.25" customHeight="1" x14ac:dyDescent="0.3">
      <c r="A307" s="4" t="s">
        <v>28</v>
      </c>
      <c r="B307" s="4" t="s">
        <v>35</v>
      </c>
      <c r="C307" s="4" t="s">
        <v>23</v>
      </c>
      <c r="D307" s="4" t="s">
        <v>40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44562</v>
      </c>
      <c r="J307" s="6">
        <v>0</v>
      </c>
      <c r="K307" s="6">
        <v>0</v>
      </c>
      <c r="L307" s="6">
        <v>1.4890000000000001</v>
      </c>
      <c r="M307" s="6">
        <v>1.4890000000000001</v>
      </c>
      <c r="N307" s="6">
        <v>1.4890000000000001</v>
      </c>
      <c r="O307" s="6">
        <v>1.4890000000000001</v>
      </c>
      <c r="P307" s="6">
        <v>9</v>
      </c>
      <c r="Q307" s="4" t="s">
        <v>26</v>
      </c>
      <c r="R307" s="4">
        <v>0</v>
      </c>
      <c r="S307" s="6">
        <v>0</v>
      </c>
      <c r="T307" s="6">
        <v>67</v>
      </c>
      <c r="U307" s="6">
        <v>39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442.96</v>
      </c>
      <c r="X307" s="6">
        <f>IF(ISERROR(VLOOKUP($U$307,'TAR FIN'!$A$1:$O$85,15,0)),0,VLOOKUP($U$307,'TAR FIN'!$A$1:$O$85,15,0))</f>
        <v>185.74</v>
      </c>
      <c r="Y307" s="6"/>
      <c r="Z307" s="6">
        <f ca="1">('TUSD BE'!$AM$48+'TUSD BF'!$AM$48+'TUSD CVA'!$AM$48)*1</f>
        <v>519.26043781347539</v>
      </c>
      <c r="AA307" s="6">
        <f>('TE BE'!$AB$39+'TE BF'!$AB$39+'TE CVA'!$AB$39)*1</f>
        <v>166.7634981586946</v>
      </c>
      <c r="AB307" s="6">
        <f>$K$307*$V$307</f>
        <v>0</v>
      </c>
      <c r="AC307" s="6">
        <f>$M$307*$W$307</f>
        <v>659.56744000000003</v>
      </c>
      <c r="AD307" s="6">
        <f>$O$307*$X$307</f>
        <v>276.56686000000002</v>
      </c>
      <c r="AE307" s="6">
        <f>$K$307*$Y$307</f>
        <v>0</v>
      </c>
      <c r="AF307" s="6">
        <f ca="1">$M$307*$Z$307</f>
        <v>773.17879190426493</v>
      </c>
      <c r="AG307" s="6">
        <f>$O$307*$AA$307</f>
        <v>248.31084875829629</v>
      </c>
    </row>
    <row r="308" spans="1:33" ht="11.25" customHeight="1" x14ac:dyDescent="0.3">
      <c r="A308" s="4" t="s">
        <v>21</v>
      </c>
      <c r="B308" s="4" t="s">
        <v>35</v>
      </c>
      <c r="C308" s="4" t="s">
        <v>23</v>
      </c>
      <c r="D308" s="4" t="s">
        <v>40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44593</v>
      </c>
      <c r="J308" s="6">
        <v>0</v>
      </c>
      <c r="K308" s="6">
        <v>0</v>
      </c>
      <c r="L308" s="6">
        <v>190.53700000000001</v>
      </c>
      <c r="M308" s="6">
        <v>190.53700000000001</v>
      </c>
      <c r="N308" s="6">
        <v>190.53700000000001</v>
      </c>
      <c r="O308" s="6">
        <v>190.53700000000001</v>
      </c>
      <c r="P308" s="6">
        <v>368</v>
      </c>
      <c r="Q308" s="4" t="s">
        <v>26</v>
      </c>
      <c r="R308" s="4">
        <v>0</v>
      </c>
      <c r="S308" s="6">
        <v>0</v>
      </c>
      <c r="T308" s="6">
        <v>67</v>
      </c>
      <c r="U308" s="6">
        <v>39</v>
      </c>
      <c r="V308" s="6">
        <f>IF(ISERROR(VLOOKUP($S$308,'TAR FIN'!$A$1:$O$85,15,0)),0,VLOOKUP($S$308,'TAR FIN'!$A$1:$O$85,15,0))</f>
        <v>0</v>
      </c>
      <c r="W308" s="6">
        <f>IF(ISERROR(VLOOKUP($T$308,'TAR FIN'!$A$1:$O$85,15,0)),0,VLOOKUP($T$308,'TAR FIN'!$A$1:$O$85,15,0))</f>
        <v>442.96</v>
      </c>
      <c r="X308" s="6">
        <f>IF(ISERROR(VLOOKUP($U$308,'TAR FIN'!$A$1:$O$85,15,0)),0,VLOOKUP($U$308,'TAR FIN'!$A$1:$O$85,15,0))</f>
        <v>185.74</v>
      </c>
      <c r="Y308" s="6"/>
      <c r="Z308" s="6">
        <f ca="1">('TUSD BE'!$AM$48+'TUSD BF'!$AM$48+'TUSD CVA'!$AM$48)*1</f>
        <v>519.26043781347539</v>
      </c>
      <c r="AA308" s="6">
        <f>('TE BE'!$AB$39+'TE BF'!$AB$39+'TE CVA'!$AB$39)*1</f>
        <v>166.7634981586946</v>
      </c>
      <c r="AB308" s="6">
        <f>$K$308*$V$308</f>
        <v>0</v>
      </c>
      <c r="AC308" s="6">
        <f>$M$308*$W$308</f>
        <v>84400.269520000002</v>
      </c>
      <c r="AD308" s="6">
        <f>$O$308*$X$308</f>
        <v>35390.342380000002</v>
      </c>
      <c r="AE308" s="6">
        <f>$K$308*$Y$308</f>
        <v>0</v>
      </c>
      <c r="AF308" s="6">
        <f ca="1">$M$308*$Z$308</f>
        <v>98938.326039666164</v>
      </c>
      <c r="AG308" s="6">
        <f>$O$308*$AA$308</f>
        <v>31774.616648663196</v>
      </c>
    </row>
    <row r="309" spans="1:33" ht="11.25" customHeight="1" x14ac:dyDescent="0.3">
      <c r="A309" s="4" t="s">
        <v>28</v>
      </c>
      <c r="B309" s="4" t="s">
        <v>35</v>
      </c>
      <c r="C309" s="4" t="s">
        <v>23</v>
      </c>
      <c r="D309" s="4" t="s">
        <v>40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44593</v>
      </c>
      <c r="J309" s="6">
        <v>0</v>
      </c>
      <c r="K309" s="6">
        <v>0</v>
      </c>
      <c r="L309" s="6">
        <v>3.2589999999999999</v>
      </c>
      <c r="M309" s="6">
        <v>3.2589999999999999</v>
      </c>
      <c r="N309" s="6">
        <v>3.2589999999999999</v>
      </c>
      <c r="O309" s="6">
        <v>3.2589999999999999</v>
      </c>
      <c r="P309" s="6">
        <v>11</v>
      </c>
      <c r="Q309" s="4" t="s">
        <v>26</v>
      </c>
      <c r="R309" s="4">
        <v>0</v>
      </c>
      <c r="S309" s="6">
        <v>0</v>
      </c>
      <c r="T309" s="6">
        <v>67</v>
      </c>
      <c r="U309" s="6">
        <v>39</v>
      </c>
      <c r="V309" s="6">
        <f>IF(ISERROR(VLOOKUP($S$309,'TAR FIN'!$A$1:$O$85,15,0)),0,VLOOKUP($S$309,'TAR FIN'!$A$1:$O$85,15,0))</f>
        <v>0</v>
      </c>
      <c r="W309" s="6">
        <f>IF(ISERROR(VLOOKUP($T$309,'TAR FIN'!$A$1:$O$85,15,0)),0,VLOOKUP($T$309,'TAR FIN'!$A$1:$O$85,15,0))</f>
        <v>442.96</v>
      </c>
      <c r="X309" s="6">
        <f>IF(ISERROR(VLOOKUP($U$309,'TAR FIN'!$A$1:$O$85,15,0)),0,VLOOKUP($U$309,'TAR FIN'!$A$1:$O$85,15,0))</f>
        <v>185.74</v>
      </c>
      <c r="Y309" s="6"/>
      <c r="Z309" s="6">
        <f ca="1">('TUSD BE'!$AM$48+'TUSD BF'!$AM$48+'TUSD CVA'!$AM$48)*1</f>
        <v>519.26043781347539</v>
      </c>
      <c r="AA309" s="6">
        <f>('TE BE'!$AB$39+'TE BF'!$AB$39+'TE CVA'!$AB$39)*1</f>
        <v>166.7634981586946</v>
      </c>
      <c r="AB309" s="6">
        <f>$K$309*$V$309</f>
        <v>0</v>
      </c>
      <c r="AC309" s="6">
        <f>$M$309*$W$309</f>
        <v>1443.60664</v>
      </c>
      <c r="AD309" s="6">
        <f>$O$309*$X$309</f>
        <v>605.32666000000006</v>
      </c>
      <c r="AE309" s="6">
        <f>$K$309*$Y$309</f>
        <v>0</v>
      </c>
      <c r="AF309" s="6">
        <f ca="1">$M$309*$Z$309</f>
        <v>1692.2697668341164</v>
      </c>
      <c r="AG309" s="6">
        <f>$O$309*$AA$309</f>
        <v>543.48224049918565</v>
      </c>
    </row>
    <row r="310" spans="1:33" ht="11.25" customHeight="1" x14ac:dyDescent="0.3">
      <c r="A310" s="4" t="s">
        <v>21</v>
      </c>
      <c r="B310" s="4" t="s">
        <v>35</v>
      </c>
      <c r="C310" s="4" t="s">
        <v>23</v>
      </c>
      <c r="D310" s="4" t="s">
        <v>40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44621</v>
      </c>
      <c r="J310" s="6">
        <v>0</v>
      </c>
      <c r="K310" s="6">
        <v>0</v>
      </c>
      <c r="L310" s="6">
        <v>174.095</v>
      </c>
      <c r="M310" s="6">
        <v>174.095</v>
      </c>
      <c r="N310" s="6">
        <v>174.095</v>
      </c>
      <c r="O310" s="6">
        <v>174.095</v>
      </c>
      <c r="P310" s="6">
        <v>365</v>
      </c>
      <c r="Q310" s="4" t="s">
        <v>26</v>
      </c>
      <c r="R310" s="4">
        <v>0</v>
      </c>
      <c r="S310" s="6">
        <v>0</v>
      </c>
      <c r="T310" s="6">
        <v>67</v>
      </c>
      <c r="U310" s="6">
        <v>39</v>
      </c>
      <c r="V310" s="6">
        <f>IF(ISERROR(VLOOKUP($S$310,'TAR FIN'!$A$1:$O$85,15,0)),0,VLOOKUP($S$310,'TAR FIN'!$A$1:$O$85,15,0))</f>
        <v>0</v>
      </c>
      <c r="W310" s="6">
        <f>IF(ISERROR(VLOOKUP($T$310,'TAR FIN'!$A$1:$O$85,15,0)),0,VLOOKUP($T$310,'TAR FIN'!$A$1:$O$85,15,0))</f>
        <v>442.96</v>
      </c>
      <c r="X310" s="6">
        <f>IF(ISERROR(VLOOKUP($U$310,'TAR FIN'!$A$1:$O$85,15,0)),0,VLOOKUP($U$310,'TAR FIN'!$A$1:$O$85,15,0))</f>
        <v>185.74</v>
      </c>
      <c r="Y310" s="6"/>
      <c r="Z310" s="6">
        <f ca="1">('TUSD BE'!$AM$48+'TUSD BF'!$AM$48+'TUSD CVA'!$AM$48)*1</f>
        <v>519.26043781347539</v>
      </c>
      <c r="AA310" s="6">
        <f>('TE BE'!$AB$39+'TE BF'!$AB$39+'TE CVA'!$AB$39)*1</f>
        <v>166.7634981586946</v>
      </c>
      <c r="AB310" s="6">
        <f>$K$310*$V$310</f>
        <v>0</v>
      </c>
      <c r="AC310" s="6">
        <f>$M$310*$W$310</f>
        <v>77117.121199999994</v>
      </c>
      <c r="AD310" s="6">
        <f>$O$310*$X$310</f>
        <v>32336.405300000002</v>
      </c>
      <c r="AE310" s="6">
        <f>$K$310*$Y$310</f>
        <v>0</v>
      </c>
      <c r="AF310" s="6">
        <f ca="1">$M$310*$Z$310</f>
        <v>90400.645921136995</v>
      </c>
      <c r="AG310" s="6">
        <f>$O$310*$AA$310</f>
        <v>29032.691211937938</v>
      </c>
    </row>
    <row r="311" spans="1:33" ht="11.25" customHeight="1" x14ac:dyDescent="0.3">
      <c r="A311" s="4" t="s">
        <v>27</v>
      </c>
      <c r="B311" s="4" t="s">
        <v>35</v>
      </c>
      <c r="C311" s="4" t="s">
        <v>23</v>
      </c>
      <c r="D311" s="4" t="s">
        <v>40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44621</v>
      </c>
      <c r="J311" s="6">
        <v>0</v>
      </c>
      <c r="K311" s="6">
        <v>0</v>
      </c>
      <c r="L311" s="6">
        <v>0.60699999999999998</v>
      </c>
      <c r="M311" s="6">
        <v>0.60699999999999998</v>
      </c>
      <c r="N311" s="6">
        <v>0.60699999999999998</v>
      </c>
      <c r="O311" s="6">
        <v>0.60699999999999998</v>
      </c>
      <c r="P311" s="6">
        <v>0</v>
      </c>
      <c r="Q311" s="4" t="s">
        <v>26</v>
      </c>
      <c r="R311" s="4">
        <v>0</v>
      </c>
      <c r="S311" s="6">
        <v>0</v>
      </c>
      <c r="T311" s="6">
        <v>67</v>
      </c>
      <c r="U311" s="6">
        <v>39</v>
      </c>
      <c r="V311" s="6">
        <f>IF(ISERROR(VLOOKUP($S$311,'TAR FIN'!$A$1:$O$85,15,0)),0,VLOOKUP($S$311,'TAR FIN'!$A$1:$O$85,15,0))</f>
        <v>0</v>
      </c>
      <c r="W311" s="6">
        <f>IF(ISERROR(VLOOKUP($T$311,'TAR FIN'!$A$1:$O$85,15,0)),0,VLOOKUP($T$311,'TAR FIN'!$A$1:$O$85,15,0))</f>
        <v>442.96</v>
      </c>
      <c r="X311" s="6">
        <f>IF(ISERROR(VLOOKUP($U$311,'TAR FIN'!$A$1:$O$85,15,0)),0,VLOOKUP($U$311,'TAR FIN'!$A$1:$O$85,15,0))</f>
        <v>185.74</v>
      </c>
      <c r="Y311" s="6"/>
      <c r="Z311" s="6">
        <f ca="1">('TUSD BE'!$AM$48+'TUSD BF'!$AM$48+'TUSD CVA'!$AM$48)*1</f>
        <v>519.26043781347539</v>
      </c>
      <c r="AA311" s="6">
        <f>('TE BE'!$AB$39+'TE BF'!$AB$39+'TE CVA'!$AB$39)*1</f>
        <v>166.7634981586946</v>
      </c>
      <c r="AB311" s="6">
        <f>$K$311*$V$311</f>
        <v>0</v>
      </c>
      <c r="AC311" s="6">
        <f>$M$311*$W$311</f>
        <v>268.87671999999998</v>
      </c>
      <c r="AD311" s="6">
        <f>$O$311*$X$311</f>
        <v>112.74418</v>
      </c>
      <c r="AE311" s="6">
        <f>$K$311*$Y$311</f>
        <v>0</v>
      </c>
      <c r="AF311" s="6">
        <f ca="1">$M$311*$Z$311</f>
        <v>315.19108575277954</v>
      </c>
      <c r="AG311" s="6">
        <f>$O$311*$AA$311</f>
        <v>101.22544338232763</v>
      </c>
    </row>
    <row r="312" spans="1:33" ht="11.25" customHeight="1" x14ac:dyDescent="0.3">
      <c r="A312" s="4" t="s">
        <v>28</v>
      </c>
      <c r="B312" s="4" t="s">
        <v>35</v>
      </c>
      <c r="C312" s="4" t="s">
        <v>23</v>
      </c>
      <c r="D312" s="4" t="s">
        <v>40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44621</v>
      </c>
      <c r="J312" s="6">
        <v>0</v>
      </c>
      <c r="K312" s="6">
        <v>0</v>
      </c>
      <c r="L312" s="6">
        <v>3.4049999999999998</v>
      </c>
      <c r="M312" s="6">
        <v>3.4049999999999998</v>
      </c>
      <c r="N312" s="6">
        <v>3.4049999999999998</v>
      </c>
      <c r="O312" s="6">
        <v>3.4049999999999998</v>
      </c>
      <c r="P312" s="6">
        <v>13</v>
      </c>
      <c r="Q312" s="4" t="s">
        <v>26</v>
      </c>
      <c r="R312" s="4">
        <v>0</v>
      </c>
      <c r="S312" s="6">
        <v>0</v>
      </c>
      <c r="T312" s="6">
        <v>67</v>
      </c>
      <c r="U312" s="6">
        <v>39</v>
      </c>
      <c r="V312" s="6">
        <f>IF(ISERROR(VLOOKUP($S$312,'TAR FIN'!$A$1:$O$85,15,0)),0,VLOOKUP($S$312,'TAR FIN'!$A$1:$O$85,15,0))</f>
        <v>0</v>
      </c>
      <c r="W312" s="6">
        <f>IF(ISERROR(VLOOKUP($T$312,'TAR FIN'!$A$1:$O$85,15,0)),0,VLOOKUP($T$312,'TAR FIN'!$A$1:$O$85,15,0))</f>
        <v>442.96</v>
      </c>
      <c r="X312" s="6">
        <f>IF(ISERROR(VLOOKUP($U$312,'TAR FIN'!$A$1:$O$85,15,0)),0,VLOOKUP($U$312,'TAR FIN'!$A$1:$O$85,15,0))</f>
        <v>185.74</v>
      </c>
      <c r="Y312" s="6"/>
      <c r="Z312" s="6">
        <f ca="1">('TUSD BE'!$AM$48+'TUSD BF'!$AM$48+'TUSD CVA'!$AM$48)*1</f>
        <v>519.26043781347539</v>
      </c>
      <c r="AA312" s="6">
        <f>('TE BE'!$AB$39+'TE BF'!$AB$39+'TE CVA'!$AB$39)*1</f>
        <v>166.7634981586946</v>
      </c>
      <c r="AB312" s="6">
        <f>$K$312*$V$312</f>
        <v>0</v>
      </c>
      <c r="AC312" s="6">
        <f>$M$312*$W$312</f>
        <v>1508.2787999999998</v>
      </c>
      <c r="AD312" s="6">
        <f>$O$312*$X$312</f>
        <v>632.44470000000001</v>
      </c>
      <c r="AE312" s="6">
        <f>$K$312*$Y$312</f>
        <v>0</v>
      </c>
      <c r="AF312" s="6">
        <f ca="1">$M$312*$Z$312</f>
        <v>1768.0817907548835</v>
      </c>
      <c r="AG312" s="6">
        <f>$O$312*$AA$312</f>
        <v>567.82971123035509</v>
      </c>
    </row>
    <row r="313" spans="1:33" ht="11.25" customHeight="1" x14ac:dyDescent="0.3">
      <c r="A313" s="4" t="s">
        <v>21</v>
      </c>
      <c r="B313" s="4" t="s">
        <v>35</v>
      </c>
      <c r="C313" s="4" t="s">
        <v>23</v>
      </c>
      <c r="D313" s="4" t="s">
        <v>40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44652</v>
      </c>
      <c r="J313" s="6">
        <v>0</v>
      </c>
      <c r="K313" s="6">
        <v>0</v>
      </c>
      <c r="L313" s="6">
        <v>152.637</v>
      </c>
      <c r="M313" s="6">
        <v>152.637</v>
      </c>
      <c r="N313" s="6">
        <v>152.637</v>
      </c>
      <c r="O313" s="6">
        <v>152.637</v>
      </c>
      <c r="P313" s="6">
        <v>362</v>
      </c>
      <c r="Q313" s="4" t="s">
        <v>26</v>
      </c>
      <c r="R313" s="4">
        <v>0</v>
      </c>
      <c r="S313" s="6">
        <v>0</v>
      </c>
      <c r="T313" s="6">
        <v>67</v>
      </c>
      <c r="U313" s="6">
        <v>39</v>
      </c>
      <c r="V313" s="6">
        <f>IF(ISERROR(VLOOKUP($S$313,'TAR FIN'!$A$1:$O$85,15,0)),0,VLOOKUP($S$313,'TAR FIN'!$A$1:$O$85,15,0))</f>
        <v>0</v>
      </c>
      <c r="W313" s="6">
        <f>IF(ISERROR(VLOOKUP($T$313,'TAR FIN'!$A$1:$O$85,15,0)),0,VLOOKUP($T$313,'TAR FIN'!$A$1:$O$85,15,0))</f>
        <v>442.96</v>
      </c>
      <c r="X313" s="6">
        <f>IF(ISERROR(VLOOKUP($U$313,'TAR FIN'!$A$1:$O$85,15,0)),0,VLOOKUP($U$313,'TAR FIN'!$A$1:$O$85,15,0))</f>
        <v>185.74</v>
      </c>
      <c r="Y313" s="6"/>
      <c r="Z313" s="6">
        <f ca="1">('TUSD BE'!$AM$48+'TUSD BF'!$AM$48+'TUSD CVA'!$AM$48)*1</f>
        <v>519.26043781347539</v>
      </c>
      <c r="AA313" s="6">
        <f>('TE BE'!$AB$39+'TE BF'!$AB$39+'TE CVA'!$AB$39)*1</f>
        <v>166.7634981586946</v>
      </c>
      <c r="AB313" s="6">
        <f>$K$313*$V$313</f>
        <v>0</v>
      </c>
      <c r="AC313" s="6">
        <f>$M$313*$W$313</f>
        <v>67612.085519999993</v>
      </c>
      <c r="AD313" s="6">
        <f>$O$313*$X$313</f>
        <v>28350.79638</v>
      </c>
      <c r="AE313" s="6">
        <f>$K$313*$Y$313</f>
        <v>0</v>
      </c>
      <c r="AF313" s="6">
        <f ca="1">$M$313*$Z$313</f>
        <v>79258.355446535439</v>
      </c>
      <c r="AG313" s="6">
        <f>$O$313*$AA$313</f>
        <v>25454.280068448668</v>
      </c>
    </row>
    <row r="314" spans="1:33" ht="11.25" customHeight="1" x14ac:dyDescent="0.3">
      <c r="A314" s="4" t="s">
        <v>28</v>
      </c>
      <c r="B314" s="4" t="s">
        <v>35</v>
      </c>
      <c r="C314" s="4" t="s">
        <v>23</v>
      </c>
      <c r="D314" s="4" t="s">
        <v>40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44652</v>
      </c>
      <c r="J314" s="6">
        <v>0</v>
      </c>
      <c r="K314" s="6">
        <v>0</v>
      </c>
      <c r="L314" s="6">
        <v>6.9139999999999997</v>
      </c>
      <c r="M314" s="6">
        <v>6.9139999999999997</v>
      </c>
      <c r="N314" s="6">
        <v>6.9139999999999997</v>
      </c>
      <c r="O314" s="6">
        <v>6.9139999999999997</v>
      </c>
      <c r="P314" s="6">
        <v>14</v>
      </c>
      <c r="Q314" s="4" t="s">
        <v>26</v>
      </c>
      <c r="R314" s="4">
        <v>0</v>
      </c>
      <c r="S314" s="6">
        <v>0</v>
      </c>
      <c r="T314" s="6">
        <v>67</v>
      </c>
      <c r="U314" s="6">
        <v>39</v>
      </c>
      <c r="V314" s="6">
        <f>IF(ISERROR(VLOOKUP($S$314,'TAR FIN'!$A$1:$O$85,15,0)),0,VLOOKUP($S$314,'TAR FIN'!$A$1:$O$85,15,0))</f>
        <v>0</v>
      </c>
      <c r="W314" s="6">
        <f>IF(ISERROR(VLOOKUP($T$314,'TAR FIN'!$A$1:$O$85,15,0)),0,VLOOKUP($T$314,'TAR FIN'!$A$1:$O$85,15,0))</f>
        <v>442.96</v>
      </c>
      <c r="X314" s="6">
        <f>IF(ISERROR(VLOOKUP($U$314,'TAR FIN'!$A$1:$O$85,15,0)),0,VLOOKUP($U$314,'TAR FIN'!$A$1:$O$85,15,0))</f>
        <v>185.74</v>
      </c>
      <c r="Y314" s="6"/>
      <c r="Z314" s="6">
        <f ca="1">('TUSD BE'!$AM$48+'TUSD BF'!$AM$48+'TUSD CVA'!$AM$48)*1</f>
        <v>519.26043781347539</v>
      </c>
      <c r="AA314" s="6">
        <f>('TE BE'!$AB$39+'TE BF'!$AB$39+'TE CVA'!$AB$39)*1</f>
        <v>166.7634981586946</v>
      </c>
      <c r="AB314" s="6">
        <f>$K$314*$V$314</f>
        <v>0</v>
      </c>
      <c r="AC314" s="6">
        <f>$M$314*$W$314</f>
        <v>3062.6254399999998</v>
      </c>
      <c r="AD314" s="6">
        <f>$O$314*$X$314</f>
        <v>1284.2063599999999</v>
      </c>
      <c r="AE314" s="6">
        <f>$K$314*$Y$314</f>
        <v>0</v>
      </c>
      <c r="AF314" s="6">
        <f ca="1">$M$314*$Z$314</f>
        <v>3590.1666670423688</v>
      </c>
      <c r="AG314" s="6">
        <f>$O$314*$AA$314</f>
        <v>1153.0028262692144</v>
      </c>
    </row>
    <row r="315" spans="1:33" ht="11.25" customHeight="1" x14ac:dyDescent="0.3">
      <c r="A315" s="4" t="s">
        <v>21</v>
      </c>
      <c r="B315" s="4" t="s">
        <v>35</v>
      </c>
      <c r="C315" s="4" t="s">
        <v>23</v>
      </c>
      <c r="D315" s="4" t="s">
        <v>40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44682</v>
      </c>
      <c r="J315" s="6">
        <v>0</v>
      </c>
      <c r="K315" s="6">
        <v>0</v>
      </c>
      <c r="L315" s="6">
        <v>142.82</v>
      </c>
      <c r="M315" s="6">
        <v>142.82</v>
      </c>
      <c r="N315" s="6">
        <v>142.82</v>
      </c>
      <c r="O315" s="6">
        <v>142.82</v>
      </c>
      <c r="P315" s="6">
        <v>358</v>
      </c>
      <c r="Q315" s="4" t="s">
        <v>26</v>
      </c>
      <c r="R315" s="4">
        <v>0</v>
      </c>
      <c r="S315" s="6">
        <v>0</v>
      </c>
      <c r="T315" s="6">
        <v>67</v>
      </c>
      <c r="U315" s="6">
        <v>39</v>
      </c>
      <c r="V315" s="6">
        <f>IF(ISERROR(VLOOKUP($S$315,'TAR FIN'!$A$1:$O$85,15,0)),0,VLOOKUP($S$315,'TAR FIN'!$A$1:$O$85,15,0))</f>
        <v>0</v>
      </c>
      <c r="W315" s="6">
        <f>IF(ISERROR(VLOOKUP($T$315,'TAR FIN'!$A$1:$O$85,15,0)),0,VLOOKUP($T$315,'TAR FIN'!$A$1:$O$85,15,0))</f>
        <v>442.96</v>
      </c>
      <c r="X315" s="6">
        <f>IF(ISERROR(VLOOKUP($U$315,'TAR FIN'!$A$1:$O$85,15,0)),0,VLOOKUP($U$315,'TAR FIN'!$A$1:$O$85,15,0))</f>
        <v>185.74</v>
      </c>
      <c r="Y315" s="6"/>
      <c r="Z315" s="6">
        <f ca="1">('TUSD BE'!$AM$48+'TUSD BF'!$AM$48+'TUSD CVA'!$AM$48)*1</f>
        <v>519.26043781347539</v>
      </c>
      <c r="AA315" s="6">
        <f>('TE BE'!$AB$39+'TE BF'!$AB$39+'TE CVA'!$AB$39)*1</f>
        <v>166.7634981586946</v>
      </c>
      <c r="AB315" s="6">
        <f>$K$315*$V$315</f>
        <v>0</v>
      </c>
      <c r="AC315" s="6">
        <f>$M$315*$W$315</f>
        <v>63263.547199999994</v>
      </c>
      <c r="AD315" s="6">
        <f>$O$315*$X$315</f>
        <v>26527.3868</v>
      </c>
      <c r="AE315" s="6">
        <f>$K$315*$Y$315</f>
        <v>0</v>
      </c>
      <c r="AF315" s="6">
        <f ca="1">$M$315*$Z$315</f>
        <v>74160.775728520559</v>
      </c>
      <c r="AG315" s="6">
        <f>$O$315*$AA$315</f>
        <v>23817.162807024761</v>
      </c>
    </row>
    <row r="316" spans="1:33" ht="11.25" customHeight="1" x14ac:dyDescent="0.3">
      <c r="A316" s="4" t="s">
        <v>28</v>
      </c>
      <c r="B316" s="4" t="s">
        <v>35</v>
      </c>
      <c r="C316" s="4" t="s">
        <v>23</v>
      </c>
      <c r="D316" s="4" t="s">
        <v>40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44682</v>
      </c>
      <c r="J316" s="6">
        <v>0</v>
      </c>
      <c r="K316" s="6">
        <v>0</v>
      </c>
      <c r="L316" s="6">
        <v>4.97</v>
      </c>
      <c r="M316" s="6">
        <v>4.97</v>
      </c>
      <c r="N316" s="6">
        <v>4.97</v>
      </c>
      <c r="O316" s="6">
        <v>4.97</v>
      </c>
      <c r="P316" s="6">
        <v>12</v>
      </c>
      <c r="Q316" s="4" t="s">
        <v>26</v>
      </c>
      <c r="R316" s="4">
        <v>0</v>
      </c>
      <c r="S316" s="6">
        <v>0</v>
      </c>
      <c r="T316" s="6">
        <v>67</v>
      </c>
      <c r="U316" s="6">
        <v>39</v>
      </c>
      <c r="V316" s="6">
        <f>IF(ISERROR(VLOOKUP($S$316,'TAR FIN'!$A$1:$O$85,15,0)),0,VLOOKUP($S$316,'TAR FIN'!$A$1:$O$85,15,0))</f>
        <v>0</v>
      </c>
      <c r="W316" s="6">
        <f>IF(ISERROR(VLOOKUP($T$316,'TAR FIN'!$A$1:$O$85,15,0)),0,VLOOKUP($T$316,'TAR FIN'!$A$1:$O$85,15,0))</f>
        <v>442.96</v>
      </c>
      <c r="X316" s="6">
        <f>IF(ISERROR(VLOOKUP($U$316,'TAR FIN'!$A$1:$O$85,15,0)),0,VLOOKUP($U$316,'TAR FIN'!$A$1:$O$85,15,0))</f>
        <v>185.74</v>
      </c>
      <c r="Y316" s="6"/>
      <c r="Z316" s="6">
        <f ca="1">('TUSD BE'!$AM$48+'TUSD BF'!$AM$48+'TUSD CVA'!$AM$48)*1</f>
        <v>519.26043781347539</v>
      </c>
      <c r="AA316" s="6">
        <f>('TE BE'!$AB$39+'TE BF'!$AB$39+'TE CVA'!$AB$39)*1</f>
        <v>166.7634981586946</v>
      </c>
      <c r="AB316" s="6">
        <f>$K$316*$V$316</f>
        <v>0</v>
      </c>
      <c r="AC316" s="6">
        <f>$M$316*$W$316</f>
        <v>2201.5111999999999</v>
      </c>
      <c r="AD316" s="6">
        <f>$O$316*$X$316</f>
        <v>923.12779999999998</v>
      </c>
      <c r="AE316" s="6">
        <f>$K$316*$Y$316</f>
        <v>0</v>
      </c>
      <c r="AF316" s="6">
        <f ca="1">$M$316*$Z$316</f>
        <v>2580.7243759329726</v>
      </c>
      <c r="AG316" s="6">
        <f>$O$316*$AA$316</f>
        <v>828.81458584871211</v>
      </c>
    </row>
    <row r="317" spans="1:33" ht="11.25" customHeight="1" x14ac:dyDescent="0.3">
      <c r="A317" s="4" t="s">
        <v>21</v>
      </c>
      <c r="B317" s="4" t="s">
        <v>35</v>
      </c>
      <c r="C317" s="4" t="s">
        <v>23</v>
      </c>
      <c r="D317" s="4" t="s">
        <v>40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44713</v>
      </c>
      <c r="J317" s="6">
        <v>0</v>
      </c>
      <c r="K317" s="6">
        <v>0</v>
      </c>
      <c r="L317" s="6">
        <v>141.81299999999999</v>
      </c>
      <c r="M317" s="6">
        <v>141.81299999999999</v>
      </c>
      <c r="N317" s="6">
        <v>141.81299999999999</v>
      </c>
      <c r="O317" s="6">
        <v>141.81299999999999</v>
      </c>
      <c r="P317" s="6">
        <v>359</v>
      </c>
      <c r="Q317" s="4" t="s">
        <v>26</v>
      </c>
      <c r="R317" s="4">
        <v>0</v>
      </c>
      <c r="S317" s="6">
        <v>0</v>
      </c>
      <c r="T317" s="6">
        <v>67</v>
      </c>
      <c r="U317" s="6">
        <v>39</v>
      </c>
      <c r="V317" s="6">
        <f>IF(ISERROR(VLOOKUP($S$317,'TAR FIN'!$A$1:$O$85,15,0)),0,VLOOKUP($S$317,'TAR FIN'!$A$1:$O$85,15,0))</f>
        <v>0</v>
      </c>
      <c r="W317" s="6">
        <f>IF(ISERROR(VLOOKUP($T$317,'TAR FIN'!$A$1:$O$85,15,0)),0,VLOOKUP($T$317,'TAR FIN'!$A$1:$O$85,15,0))</f>
        <v>442.96</v>
      </c>
      <c r="X317" s="6">
        <f>IF(ISERROR(VLOOKUP($U$317,'TAR FIN'!$A$1:$O$85,15,0)),0,VLOOKUP($U$317,'TAR FIN'!$A$1:$O$85,15,0))</f>
        <v>185.74</v>
      </c>
      <c r="Y317" s="6"/>
      <c r="Z317" s="6">
        <f ca="1">('TUSD BE'!$AM$48+'TUSD BF'!$AM$48+'TUSD CVA'!$AM$48)*1</f>
        <v>519.26043781347539</v>
      </c>
      <c r="AA317" s="6">
        <f>('TE BE'!$AB$39+'TE BF'!$AB$39+'TE CVA'!$AB$39)*1</f>
        <v>166.7634981586946</v>
      </c>
      <c r="AB317" s="6">
        <f>$K$317*$V$317</f>
        <v>0</v>
      </c>
      <c r="AC317" s="6">
        <f>$M$317*$W$317</f>
        <v>62817.486479999992</v>
      </c>
      <c r="AD317" s="6">
        <f>$O$317*$X$317</f>
        <v>26340.34662</v>
      </c>
      <c r="AE317" s="6">
        <f>$K$317*$Y$317</f>
        <v>0</v>
      </c>
      <c r="AF317" s="6">
        <f ca="1">$M$317*$Z$317</f>
        <v>73637.880467642375</v>
      </c>
      <c r="AG317" s="6">
        <f>$O$317*$AA$317</f>
        <v>23649.231964378956</v>
      </c>
    </row>
    <row r="318" spans="1:33" ht="11.25" customHeight="1" x14ac:dyDescent="0.3">
      <c r="A318" s="4" t="s">
        <v>21</v>
      </c>
      <c r="B318" s="4" t="s">
        <v>35</v>
      </c>
      <c r="C318" s="4" t="s">
        <v>23</v>
      </c>
      <c r="D318" s="4" t="s">
        <v>40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44743</v>
      </c>
      <c r="J318" s="6">
        <v>0</v>
      </c>
      <c r="K318" s="6">
        <v>0</v>
      </c>
      <c r="L318" s="6">
        <v>118.15300000000001</v>
      </c>
      <c r="M318" s="6">
        <v>118.15300000000001</v>
      </c>
      <c r="N318" s="6">
        <v>118.15300000000001</v>
      </c>
      <c r="O318" s="6">
        <v>118.15300000000001</v>
      </c>
      <c r="P318" s="6">
        <v>350</v>
      </c>
      <c r="Q318" s="4" t="s">
        <v>26</v>
      </c>
      <c r="R318" s="4">
        <v>0</v>
      </c>
      <c r="S318" s="6">
        <v>0</v>
      </c>
      <c r="T318" s="6">
        <v>67</v>
      </c>
      <c r="U318" s="6">
        <v>39</v>
      </c>
      <c r="V318" s="6">
        <f>IF(ISERROR(VLOOKUP($S$318,'TAR FIN'!$A$1:$O$85,15,0)),0,VLOOKUP($S$318,'TAR FIN'!$A$1:$O$85,15,0))</f>
        <v>0</v>
      </c>
      <c r="W318" s="6">
        <f>IF(ISERROR(VLOOKUP($T$318,'TAR FIN'!$A$1:$O$85,15,0)),0,VLOOKUP($T$318,'TAR FIN'!$A$1:$O$85,15,0))</f>
        <v>442.96</v>
      </c>
      <c r="X318" s="6">
        <f>IF(ISERROR(VLOOKUP($U$318,'TAR FIN'!$A$1:$O$85,15,0)),0,VLOOKUP($U$318,'TAR FIN'!$A$1:$O$85,15,0))</f>
        <v>185.74</v>
      </c>
      <c r="Y318" s="6"/>
      <c r="Z318" s="6">
        <f ca="1">('TUSD BE'!$AM$48+'TUSD BF'!$AM$48+'TUSD CVA'!$AM$48)*1</f>
        <v>519.26043781347539</v>
      </c>
      <c r="AA318" s="6">
        <f>('TE BE'!$AB$39+'TE BF'!$AB$39+'TE CVA'!$AB$39)*1</f>
        <v>166.7634981586946</v>
      </c>
      <c r="AB318" s="6">
        <f>$K$318*$V$318</f>
        <v>0</v>
      </c>
      <c r="AC318" s="6">
        <f>$M$318*$W$318</f>
        <v>52337.052880000003</v>
      </c>
      <c r="AD318" s="6">
        <f>$O$318*$X$318</f>
        <v>21945.738220000003</v>
      </c>
      <c r="AE318" s="6">
        <f>$K$318*$Y$318</f>
        <v>0</v>
      </c>
      <c r="AF318" s="6">
        <f ca="1">$M$318*$Z$318</f>
        <v>61352.178508975558</v>
      </c>
      <c r="AG318" s="6">
        <f>$O$318*$AA$318</f>
        <v>19703.607597944243</v>
      </c>
    </row>
    <row r="319" spans="1:33" ht="11.25" customHeight="1" x14ac:dyDescent="0.3">
      <c r="A319" s="4" t="s">
        <v>28</v>
      </c>
      <c r="B319" s="4" t="s">
        <v>35</v>
      </c>
      <c r="C319" s="4" t="s">
        <v>23</v>
      </c>
      <c r="D319" s="4" t="s">
        <v>40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44743</v>
      </c>
      <c r="J319" s="6">
        <v>0</v>
      </c>
      <c r="K319" s="6">
        <v>0</v>
      </c>
      <c r="L319" s="6">
        <v>4.8849999999999998</v>
      </c>
      <c r="M319" s="6">
        <v>4.8849999999999998</v>
      </c>
      <c r="N319" s="6">
        <v>4.8849999999999998</v>
      </c>
      <c r="O319" s="6">
        <v>4.8849999999999998</v>
      </c>
      <c r="P319" s="6">
        <v>13</v>
      </c>
      <c r="Q319" s="4" t="s">
        <v>26</v>
      </c>
      <c r="R319" s="4">
        <v>0</v>
      </c>
      <c r="S319" s="6">
        <v>0</v>
      </c>
      <c r="T319" s="6">
        <v>67</v>
      </c>
      <c r="U319" s="6">
        <v>39</v>
      </c>
      <c r="V319" s="6">
        <f>IF(ISERROR(VLOOKUP($S$319,'TAR FIN'!$A$1:$O$85,15,0)),0,VLOOKUP($S$319,'TAR FIN'!$A$1:$O$85,15,0))</f>
        <v>0</v>
      </c>
      <c r="W319" s="6">
        <f>IF(ISERROR(VLOOKUP($T$319,'TAR FIN'!$A$1:$O$85,15,0)),0,VLOOKUP($T$319,'TAR FIN'!$A$1:$O$85,15,0))</f>
        <v>442.96</v>
      </c>
      <c r="X319" s="6">
        <f>IF(ISERROR(VLOOKUP($U$319,'TAR FIN'!$A$1:$O$85,15,0)),0,VLOOKUP($U$319,'TAR FIN'!$A$1:$O$85,15,0))</f>
        <v>185.74</v>
      </c>
      <c r="Y319" s="6"/>
      <c r="Z319" s="6">
        <f ca="1">('TUSD BE'!$AM$48+'TUSD BF'!$AM$48+'TUSD CVA'!$AM$48)*1</f>
        <v>519.26043781347539</v>
      </c>
      <c r="AA319" s="6">
        <f>('TE BE'!$AB$39+'TE BF'!$AB$39+'TE CVA'!$AB$39)*1</f>
        <v>166.7634981586946</v>
      </c>
      <c r="AB319" s="6">
        <f>$K$319*$V$319</f>
        <v>0</v>
      </c>
      <c r="AC319" s="6">
        <f>$M$319*$W$319</f>
        <v>2163.8595999999998</v>
      </c>
      <c r="AD319" s="6">
        <f>$O$319*$X$319</f>
        <v>907.33990000000006</v>
      </c>
      <c r="AE319" s="6">
        <f>$K$319*$Y$319</f>
        <v>0</v>
      </c>
      <c r="AF319" s="6">
        <f ca="1">$M$319*$Z$319</f>
        <v>2536.5872387188274</v>
      </c>
      <c r="AG319" s="6">
        <f>$O$319*$AA$319</f>
        <v>814.63968850522315</v>
      </c>
    </row>
    <row r="320" spans="1:33" ht="11.25" customHeight="1" x14ac:dyDescent="0.3">
      <c r="A320" s="4" t="s">
        <v>21</v>
      </c>
      <c r="B320" s="4" t="s">
        <v>35</v>
      </c>
      <c r="C320" s="4" t="s">
        <v>23</v>
      </c>
      <c r="D320" s="4" t="s">
        <v>40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44774</v>
      </c>
      <c r="J320" s="6">
        <v>0</v>
      </c>
      <c r="K320" s="6">
        <v>0</v>
      </c>
      <c r="L320" s="6">
        <v>132.239</v>
      </c>
      <c r="M320" s="6">
        <v>132.239</v>
      </c>
      <c r="N320" s="6">
        <v>132.239</v>
      </c>
      <c r="O320" s="6">
        <v>132.239</v>
      </c>
      <c r="P320" s="6">
        <v>352</v>
      </c>
      <c r="Q320" s="4" t="s">
        <v>26</v>
      </c>
      <c r="R320" s="4">
        <v>0</v>
      </c>
      <c r="S320" s="6">
        <v>0</v>
      </c>
      <c r="T320" s="6">
        <v>67</v>
      </c>
      <c r="U320" s="6">
        <v>39</v>
      </c>
      <c r="V320" s="6">
        <f>IF(ISERROR(VLOOKUP($S$320,'TAR FIN'!$A$1:$O$85,15,0)),0,VLOOKUP($S$320,'TAR FIN'!$A$1:$O$85,15,0))</f>
        <v>0</v>
      </c>
      <c r="W320" s="6">
        <f>IF(ISERROR(VLOOKUP($T$320,'TAR FIN'!$A$1:$O$85,15,0)),0,VLOOKUP($T$320,'TAR FIN'!$A$1:$O$85,15,0))</f>
        <v>442.96</v>
      </c>
      <c r="X320" s="6">
        <f>IF(ISERROR(VLOOKUP($U$320,'TAR FIN'!$A$1:$O$85,15,0)),0,VLOOKUP($U$320,'TAR FIN'!$A$1:$O$85,15,0))</f>
        <v>185.74</v>
      </c>
      <c r="Y320" s="6"/>
      <c r="Z320" s="6">
        <f ca="1">('TUSD BE'!$AM$48+'TUSD BF'!$AM$48+'TUSD CVA'!$AM$48)*1</f>
        <v>519.26043781347539</v>
      </c>
      <c r="AA320" s="6">
        <f>('TE BE'!$AB$39+'TE BF'!$AB$39+'TE CVA'!$AB$39)*1</f>
        <v>166.7634981586946</v>
      </c>
      <c r="AB320" s="6">
        <f>$K$320*$V$320</f>
        <v>0</v>
      </c>
      <c r="AC320" s="6">
        <f>$M$320*$W$320</f>
        <v>58576.587439999996</v>
      </c>
      <c r="AD320" s="6">
        <f>$O$320*$X$320</f>
        <v>24562.071860000004</v>
      </c>
      <c r="AE320" s="6">
        <f>$K$320*$Y$320</f>
        <v>0</v>
      </c>
      <c r="AF320" s="6">
        <f ca="1">$M$320*$Z$320</f>
        <v>68666.481036016179</v>
      </c>
      <c r="AG320" s="6">
        <f>$O$320*$AA$320</f>
        <v>22052.638233007616</v>
      </c>
    </row>
    <row r="321" spans="1:33" ht="11.25" customHeight="1" x14ac:dyDescent="0.3">
      <c r="A321" s="4" t="s">
        <v>27</v>
      </c>
      <c r="B321" s="4" t="s">
        <v>35</v>
      </c>
      <c r="C321" s="4" t="s">
        <v>23</v>
      </c>
      <c r="D321" s="4" t="s">
        <v>40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44774</v>
      </c>
      <c r="J321" s="6">
        <v>0</v>
      </c>
      <c r="K321" s="6">
        <v>0</v>
      </c>
      <c r="L321" s="6">
        <v>-0.224</v>
      </c>
      <c r="M321" s="6">
        <v>-0.224</v>
      </c>
      <c r="N321" s="6">
        <v>-0.224</v>
      </c>
      <c r="O321" s="6">
        <v>-0.224</v>
      </c>
      <c r="P321" s="6">
        <v>0</v>
      </c>
      <c r="Q321" s="4" t="s">
        <v>26</v>
      </c>
      <c r="R321" s="4">
        <v>0</v>
      </c>
      <c r="S321" s="6">
        <v>0</v>
      </c>
      <c r="T321" s="6">
        <v>67</v>
      </c>
      <c r="U321" s="6">
        <v>39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442.96</v>
      </c>
      <c r="X321" s="6">
        <f>IF(ISERROR(VLOOKUP($U$321,'TAR FIN'!$A$1:$O$85,15,0)),0,VLOOKUP($U$321,'TAR FIN'!$A$1:$O$85,15,0))</f>
        <v>185.74</v>
      </c>
      <c r="Y321" s="6"/>
      <c r="Z321" s="6">
        <f ca="1">('TUSD BE'!$AM$48+'TUSD BF'!$AM$48+'TUSD CVA'!$AM$48)*1</f>
        <v>519.26043781347539</v>
      </c>
      <c r="AA321" s="6">
        <f>('TE BE'!$AB$39+'TE BF'!$AB$39+'TE CVA'!$AB$39)*1</f>
        <v>166.7634981586946</v>
      </c>
      <c r="AB321" s="6">
        <f>$K$321*$V$321</f>
        <v>0</v>
      </c>
      <c r="AC321" s="6">
        <f>$M$321*$W$321</f>
        <v>-99.223039999999997</v>
      </c>
      <c r="AD321" s="6">
        <f>$O$321*$X$321</f>
        <v>-41.605760000000004</v>
      </c>
      <c r="AE321" s="6">
        <f>$K$321*$Y$321</f>
        <v>0</v>
      </c>
      <c r="AF321" s="6">
        <f ca="1">$M$321*$Z$321</f>
        <v>-116.3143380702185</v>
      </c>
      <c r="AG321" s="6">
        <f>$O$321*$AA$321</f>
        <v>-37.355023587547592</v>
      </c>
    </row>
    <row r="322" spans="1:33" ht="11.25" customHeight="1" x14ac:dyDescent="0.3">
      <c r="A322" s="4" t="s">
        <v>28</v>
      </c>
      <c r="B322" s="4" t="s">
        <v>35</v>
      </c>
      <c r="C322" s="4" t="s">
        <v>23</v>
      </c>
      <c r="D322" s="4" t="s">
        <v>40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44774</v>
      </c>
      <c r="J322" s="6">
        <v>0</v>
      </c>
      <c r="K322" s="6">
        <v>0</v>
      </c>
      <c r="L322" s="6">
        <v>4.9050000000000002</v>
      </c>
      <c r="M322" s="6">
        <v>4.9050000000000002</v>
      </c>
      <c r="N322" s="6">
        <v>4.9050000000000002</v>
      </c>
      <c r="O322" s="6">
        <v>4.9050000000000002</v>
      </c>
      <c r="P322" s="6">
        <v>13</v>
      </c>
      <c r="Q322" s="4" t="s">
        <v>26</v>
      </c>
      <c r="R322" s="4">
        <v>0</v>
      </c>
      <c r="S322" s="6">
        <v>0</v>
      </c>
      <c r="T322" s="6">
        <v>67</v>
      </c>
      <c r="U322" s="6">
        <v>39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442.96</v>
      </c>
      <c r="X322" s="6">
        <f>IF(ISERROR(VLOOKUP($U$322,'TAR FIN'!$A$1:$O$85,15,0)),0,VLOOKUP($U$322,'TAR FIN'!$A$1:$O$85,15,0))</f>
        <v>185.74</v>
      </c>
      <c r="Y322" s="6"/>
      <c r="Z322" s="6">
        <f ca="1">('TUSD BE'!$AM$48+'TUSD BF'!$AM$48+'TUSD CVA'!$AM$48)*1</f>
        <v>519.26043781347539</v>
      </c>
      <c r="AA322" s="6">
        <f>('TE BE'!$AB$39+'TE BF'!$AB$39+'TE CVA'!$AB$39)*1</f>
        <v>166.7634981586946</v>
      </c>
      <c r="AB322" s="6">
        <f>$K$322*$V$322</f>
        <v>0</v>
      </c>
      <c r="AC322" s="6">
        <f>$M$322*$W$322</f>
        <v>2172.7188000000001</v>
      </c>
      <c r="AD322" s="6">
        <f>$O$322*$X$322</f>
        <v>911.05470000000014</v>
      </c>
      <c r="AE322" s="6">
        <f>$K$322*$Y$322</f>
        <v>0</v>
      </c>
      <c r="AF322" s="6">
        <f ca="1">$M$322*$Z$322</f>
        <v>2546.9724474750969</v>
      </c>
      <c r="AG322" s="6">
        <f>$O$322*$AA$322</f>
        <v>817.97495846839706</v>
      </c>
    </row>
    <row r="323" spans="1:33" ht="11.25" customHeight="1" x14ac:dyDescent="0.3">
      <c r="A323" s="4" t="s">
        <v>21</v>
      </c>
      <c r="B323" s="4" t="s">
        <v>35</v>
      </c>
      <c r="C323" s="4" t="s">
        <v>23</v>
      </c>
      <c r="D323" s="4" t="s">
        <v>52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44440</v>
      </c>
      <c r="J323" s="6">
        <v>0</v>
      </c>
      <c r="K323" s="6">
        <v>0</v>
      </c>
      <c r="L323" s="6">
        <v>0.52700000000000002</v>
      </c>
      <c r="M323" s="6">
        <v>0.52700000000000002</v>
      </c>
      <c r="N323" s="6">
        <v>0.52700000000000002</v>
      </c>
      <c r="O323" s="6">
        <v>0.52700000000000002</v>
      </c>
      <c r="P323" s="6">
        <v>4</v>
      </c>
      <c r="Q323" s="4" t="s">
        <v>26</v>
      </c>
      <c r="R323" s="4">
        <v>0</v>
      </c>
      <c r="S323" s="6">
        <v>0</v>
      </c>
      <c r="T323" s="6">
        <v>67</v>
      </c>
      <c r="U323" s="6">
        <v>39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442.96</v>
      </c>
      <c r="X323" s="6">
        <f>IF(ISERROR(VLOOKUP($U$323,'TAR FIN'!$A$1:$O$85,15,0)),0,VLOOKUP($U$323,'TAR FIN'!$A$1:$O$85,15,0))</f>
        <v>185.74</v>
      </c>
      <c r="Y323" s="6"/>
      <c r="Z323" s="6">
        <f ca="1">('TUSD BE'!$AM$48+'TUSD BF'!$AM$48+'TUSD CVA'!$AM$48)*1</f>
        <v>519.26043781347539</v>
      </c>
      <c r="AA323" s="6">
        <f>('TE BE'!$AB$39+'TE BF'!$AB$39+'TE CVA'!$AB$39)*1</f>
        <v>166.7634981586946</v>
      </c>
      <c r="AB323" s="6">
        <f>$K$323*$V$323</f>
        <v>0</v>
      </c>
      <c r="AC323" s="6">
        <f>$M$323*$W$323</f>
        <v>233.43992</v>
      </c>
      <c r="AD323" s="6">
        <f>$O$323*$X$323</f>
        <v>97.884980000000013</v>
      </c>
      <c r="AE323" s="6">
        <f>$K$323*$Y$323</f>
        <v>0</v>
      </c>
      <c r="AF323" s="6">
        <f ca="1">$M$323*$Z$323</f>
        <v>273.65025072770152</v>
      </c>
      <c r="AG323" s="6">
        <f>$O$323*$AA$323</f>
        <v>87.884363529632054</v>
      </c>
    </row>
    <row r="324" spans="1:33" ht="11.25" customHeight="1" x14ac:dyDescent="0.3">
      <c r="A324" s="4" t="s">
        <v>21</v>
      </c>
      <c r="B324" s="4" t="s">
        <v>35</v>
      </c>
      <c r="C324" s="4" t="s">
        <v>23</v>
      </c>
      <c r="D324" s="4" t="s">
        <v>52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44470</v>
      </c>
      <c r="J324" s="6">
        <v>0</v>
      </c>
      <c r="K324" s="6">
        <v>0</v>
      </c>
      <c r="L324" s="6">
        <v>0.504</v>
      </c>
      <c r="M324" s="6">
        <v>0.504</v>
      </c>
      <c r="N324" s="6">
        <v>0.504</v>
      </c>
      <c r="O324" s="6">
        <v>0.504</v>
      </c>
      <c r="P324" s="6">
        <v>4</v>
      </c>
      <c r="Q324" s="4" t="s">
        <v>26</v>
      </c>
      <c r="R324" s="4">
        <v>0</v>
      </c>
      <c r="S324" s="6">
        <v>0</v>
      </c>
      <c r="T324" s="6">
        <v>67</v>
      </c>
      <c r="U324" s="6">
        <v>39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442.96</v>
      </c>
      <c r="X324" s="6">
        <f>IF(ISERROR(VLOOKUP($U$324,'TAR FIN'!$A$1:$O$85,15,0)),0,VLOOKUP($U$324,'TAR FIN'!$A$1:$O$85,15,0))</f>
        <v>185.74</v>
      </c>
      <c r="Y324" s="6"/>
      <c r="Z324" s="6">
        <f ca="1">('TUSD BE'!$AM$48+'TUSD BF'!$AM$48+'TUSD CVA'!$AM$48)*1</f>
        <v>519.26043781347539</v>
      </c>
      <c r="AA324" s="6">
        <f>('TE BE'!$AB$39+'TE BF'!$AB$39+'TE CVA'!$AB$39)*1</f>
        <v>166.7634981586946</v>
      </c>
      <c r="AB324" s="6">
        <f>$K$324*$V$324</f>
        <v>0</v>
      </c>
      <c r="AC324" s="6">
        <f>$M$324*$W$324</f>
        <v>223.25183999999999</v>
      </c>
      <c r="AD324" s="6">
        <f>$O$324*$X$324</f>
        <v>93.612960000000001</v>
      </c>
      <c r="AE324" s="6">
        <f>$K$324*$Y$324</f>
        <v>0</v>
      </c>
      <c r="AF324" s="6">
        <f ca="1">$M$324*$Z$324</f>
        <v>261.70726065799158</v>
      </c>
      <c r="AG324" s="6">
        <f>$O$324*$AA$324</f>
        <v>84.048803071982078</v>
      </c>
    </row>
    <row r="325" spans="1:33" ht="11.25" customHeight="1" x14ac:dyDescent="0.3">
      <c r="A325" s="4" t="s">
        <v>21</v>
      </c>
      <c r="B325" s="4" t="s">
        <v>35</v>
      </c>
      <c r="C325" s="4" t="s">
        <v>23</v>
      </c>
      <c r="D325" s="4" t="s">
        <v>52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44501</v>
      </c>
      <c r="J325" s="6">
        <v>0</v>
      </c>
      <c r="K325" s="6">
        <v>0</v>
      </c>
      <c r="L325" s="6">
        <v>0.48899999999999999</v>
      </c>
      <c r="M325" s="6">
        <v>0.48899999999999999</v>
      </c>
      <c r="N325" s="6">
        <v>0.48899999999999999</v>
      </c>
      <c r="O325" s="6">
        <v>0.48899999999999999</v>
      </c>
      <c r="P325" s="6">
        <v>4</v>
      </c>
      <c r="Q325" s="4" t="s">
        <v>26</v>
      </c>
      <c r="R325" s="4">
        <v>0</v>
      </c>
      <c r="S325" s="6">
        <v>0</v>
      </c>
      <c r="T325" s="6">
        <v>67</v>
      </c>
      <c r="U325" s="6">
        <v>39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442.96</v>
      </c>
      <c r="X325" s="6">
        <f>IF(ISERROR(VLOOKUP($U$325,'TAR FIN'!$A$1:$O$85,15,0)),0,VLOOKUP($U$325,'TAR FIN'!$A$1:$O$85,15,0))</f>
        <v>185.74</v>
      </c>
      <c r="Y325" s="6"/>
      <c r="Z325" s="6">
        <f ca="1">('TUSD BE'!$AM$48+'TUSD BF'!$AM$48+'TUSD CVA'!$AM$48)*1</f>
        <v>519.26043781347539</v>
      </c>
      <c r="AA325" s="6">
        <f>('TE BE'!$AB$39+'TE BF'!$AB$39+'TE CVA'!$AB$39)*1</f>
        <v>166.7634981586946</v>
      </c>
      <c r="AB325" s="6">
        <f>$K$325*$V$325</f>
        <v>0</v>
      </c>
      <c r="AC325" s="6">
        <f>$M$325*$W$325</f>
        <v>216.60744</v>
      </c>
      <c r="AD325" s="6">
        <f>$O$325*$X$325</f>
        <v>90.826859999999996</v>
      </c>
      <c r="AE325" s="6">
        <f>$K$325*$Y$325</f>
        <v>0</v>
      </c>
      <c r="AF325" s="6">
        <f ca="1">$M$325*$Z$325</f>
        <v>253.91835409078945</v>
      </c>
      <c r="AG325" s="6">
        <f>$O$325*$AA$325</f>
        <v>81.547350599601657</v>
      </c>
    </row>
    <row r="326" spans="1:33" ht="11.25" customHeight="1" x14ac:dyDescent="0.3">
      <c r="A326" s="4" t="s">
        <v>21</v>
      </c>
      <c r="B326" s="4" t="s">
        <v>35</v>
      </c>
      <c r="C326" s="4" t="s">
        <v>23</v>
      </c>
      <c r="D326" s="4" t="s">
        <v>52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44531</v>
      </c>
      <c r="J326" s="6">
        <v>0</v>
      </c>
      <c r="K326" s="6">
        <v>0</v>
      </c>
      <c r="L326" s="6">
        <v>0.48699999999999999</v>
      </c>
      <c r="M326" s="6">
        <v>0.48699999999999999</v>
      </c>
      <c r="N326" s="6">
        <v>0.48699999999999999</v>
      </c>
      <c r="O326" s="6">
        <v>0.48699999999999999</v>
      </c>
      <c r="P326" s="6">
        <v>4</v>
      </c>
      <c r="Q326" s="4" t="s">
        <v>26</v>
      </c>
      <c r="R326" s="4">
        <v>0</v>
      </c>
      <c r="S326" s="6">
        <v>0</v>
      </c>
      <c r="T326" s="6">
        <v>67</v>
      </c>
      <c r="U326" s="6">
        <v>39</v>
      </c>
      <c r="V326" s="6">
        <f>IF(ISERROR(VLOOKUP($S$326,'TAR FIN'!$A$1:$O$85,15,0)),0,VLOOKUP($S$326,'TAR FIN'!$A$1:$O$85,15,0))</f>
        <v>0</v>
      </c>
      <c r="W326" s="6">
        <f>IF(ISERROR(VLOOKUP($T$326,'TAR FIN'!$A$1:$O$85,15,0)),0,VLOOKUP($T$326,'TAR FIN'!$A$1:$O$85,15,0))</f>
        <v>442.96</v>
      </c>
      <c r="X326" s="6">
        <f>IF(ISERROR(VLOOKUP($U$326,'TAR FIN'!$A$1:$O$85,15,0)),0,VLOOKUP($U$326,'TAR FIN'!$A$1:$O$85,15,0))</f>
        <v>185.74</v>
      </c>
      <c r="Y326" s="6"/>
      <c r="Z326" s="6">
        <f ca="1">('TUSD BE'!$AM$48+'TUSD BF'!$AM$48+'TUSD CVA'!$AM$48)*1</f>
        <v>519.26043781347539</v>
      </c>
      <c r="AA326" s="6">
        <f>('TE BE'!$AB$39+'TE BF'!$AB$39+'TE CVA'!$AB$39)*1</f>
        <v>166.7634981586946</v>
      </c>
      <c r="AB326" s="6">
        <f>$K$326*$V$326</f>
        <v>0</v>
      </c>
      <c r="AC326" s="6">
        <f>$M$326*$W$326</f>
        <v>215.72152</v>
      </c>
      <c r="AD326" s="6">
        <f>$O$326*$X$326</f>
        <v>90.455380000000005</v>
      </c>
      <c r="AE326" s="6">
        <f>$K$326*$Y$326</f>
        <v>0</v>
      </c>
      <c r="AF326" s="6">
        <f ca="1">$M$326*$Z$326</f>
        <v>252.87983321516251</v>
      </c>
      <c r="AG326" s="6">
        <f>$O$326*$AA$326</f>
        <v>81.213823603284268</v>
      </c>
    </row>
    <row r="327" spans="1:33" ht="11.25" customHeight="1" x14ac:dyDescent="0.3">
      <c r="A327" s="4" t="s">
        <v>21</v>
      </c>
      <c r="B327" s="4" t="s">
        <v>35</v>
      </c>
      <c r="C327" s="4" t="s">
        <v>23</v>
      </c>
      <c r="D327" s="4" t="s">
        <v>52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44562</v>
      </c>
      <c r="J327" s="6">
        <v>0</v>
      </c>
      <c r="K327" s="6">
        <v>0</v>
      </c>
      <c r="L327" s="6">
        <v>0.74099999999999999</v>
      </c>
      <c r="M327" s="6">
        <v>0.74099999999999999</v>
      </c>
      <c r="N327" s="6">
        <v>0.74099999999999999</v>
      </c>
      <c r="O327" s="6">
        <v>0.74099999999999999</v>
      </c>
      <c r="P327" s="6">
        <v>4</v>
      </c>
      <c r="Q327" s="4" t="s">
        <v>26</v>
      </c>
      <c r="R327" s="4">
        <v>0</v>
      </c>
      <c r="S327" s="6">
        <v>0</v>
      </c>
      <c r="T327" s="6">
        <v>67</v>
      </c>
      <c r="U327" s="6">
        <v>39</v>
      </c>
      <c r="V327" s="6">
        <f>IF(ISERROR(VLOOKUP($S$327,'TAR FIN'!$A$1:$O$85,15,0)),0,VLOOKUP($S$327,'TAR FIN'!$A$1:$O$85,15,0))</f>
        <v>0</v>
      </c>
      <c r="W327" s="6">
        <f>IF(ISERROR(VLOOKUP($T$327,'TAR FIN'!$A$1:$O$85,15,0)),0,VLOOKUP($T$327,'TAR FIN'!$A$1:$O$85,15,0))</f>
        <v>442.96</v>
      </c>
      <c r="X327" s="6">
        <f>IF(ISERROR(VLOOKUP($U$327,'TAR FIN'!$A$1:$O$85,15,0)),0,VLOOKUP($U$327,'TAR FIN'!$A$1:$O$85,15,0))</f>
        <v>185.74</v>
      </c>
      <c r="Y327" s="6"/>
      <c r="Z327" s="6">
        <f ca="1">('TUSD BE'!$AM$48+'TUSD BF'!$AM$48+'TUSD CVA'!$AM$48)*1</f>
        <v>519.26043781347539</v>
      </c>
      <c r="AA327" s="6">
        <f>('TE BE'!$AB$39+'TE BF'!$AB$39+'TE CVA'!$AB$39)*1</f>
        <v>166.7634981586946</v>
      </c>
      <c r="AB327" s="6">
        <f>$K$327*$V$327</f>
        <v>0</v>
      </c>
      <c r="AC327" s="6">
        <f>$M$327*$W$327</f>
        <v>328.23336</v>
      </c>
      <c r="AD327" s="6">
        <f>$O$327*$X$327</f>
        <v>137.63334</v>
      </c>
      <c r="AE327" s="6">
        <f>$K$327*$Y$327</f>
        <v>0</v>
      </c>
      <c r="AF327" s="6">
        <f ca="1">$M$327*$Z$327</f>
        <v>384.77198441978527</v>
      </c>
      <c r="AG327" s="6">
        <f>$O$327*$AA$327</f>
        <v>123.5717521355927</v>
      </c>
    </row>
    <row r="328" spans="1:33" ht="11.25" customHeight="1" x14ac:dyDescent="0.3">
      <c r="A328" s="4" t="s">
        <v>21</v>
      </c>
      <c r="B328" s="4" t="s">
        <v>35</v>
      </c>
      <c r="C328" s="4" t="s">
        <v>23</v>
      </c>
      <c r="D328" s="4" t="s">
        <v>52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44593</v>
      </c>
      <c r="J328" s="6">
        <v>0</v>
      </c>
      <c r="K328" s="6">
        <v>0</v>
      </c>
      <c r="L328" s="6">
        <v>0.98899999999999999</v>
      </c>
      <c r="M328" s="6">
        <v>0.98899999999999999</v>
      </c>
      <c r="N328" s="6">
        <v>0.98899999999999999</v>
      </c>
      <c r="O328" s="6">
        <v>0.98899999999999999</v>
      </c>
      <c r="P328" s="6">
        <v>4</v>
      </c>
      <c r="Q328" s="4" t="s">
        <v>26</v>
      </c>
      <c r="R328" s="4">
        <v>0</v>
      </c>
      <c r="S328" s="6">
        <v>0</v>
      </c>
      <c r="T328" s="6">
        <v>67</v>
      </c>
      <c r="U328" s="6">
        <v>39</v>
      </c>
      <c r="V328" s="6">
        <f>IF(ISERROR(VLOOKUP($S$328,'TAR FIN'!$A$1:$O$85,15,0)),0,VLOOKUP($S$328,'TAR FIN'!$A$1:$O$85,15,0))</f>
        <v>0</v>
      </c>
      <c r="W328" s="6">
        <f>IF(ISERROR(VLOOKUP($T$328,'TAR FIN'!$A$1:$O$85,15,0)),0,VLOOKUP($T$328,'TAR FIN'!$A$1:$O$85,15,0))</f>
        <v>442.96</v>
      </c>
      <c r="X328" s="6">
        <f>IF(ISERROR(VLOOKUP($U$328,'TAR FIN'!$A$1:$O$85,15,0)),0,VLOOKUP($U$328,'TAR FIN'!$A$1:$O$85,15,0))</f>
        <v>185.74</v>
      </c>
      <c r="Y328" s="6"/>
      <c r="Z328" s="6">
        <f ca="1">('TUSD BE'!$AM$48+'TUSD BF'!$AM$48+'TUSD CVA'!$AM$48)*1</f>
        <v>519.26043781347539</v>
      </c>
      <c r="AA328" s="6">
        <f>('TE BE'!$AB$39+'TE BF'!$AB$39+'TE CVA'!$AB$39)*1</f>
        <v>166.7634981586946</v>
      </c>
      <c r="AB328" s="6">
        <f>$K$328*$V$328</f>
        <v>0</v>
      </c>
      <c r="AC328" s="6">
        <f>$M$328*$W$328</f>
        <v>438.08743999999996</v>
      </c>
      <c r="AD328" s="6">
        <f>$O$328*$X$328</f>
        <v>183.69686000000002</v>
      </c>
      <c r="AE328" s="6">
        <f>$K$328*$Y$328</f>
        <v>0</v>
      </c>
      <c r="AF328" s="6">
        <f ca="1">$M$328*$Z$328</f>
        <v>513.54857299752712</v>
      </c>
      <c r="AG328" s="6">
        <f>$O$328*$AA$328</f>
        <v>164.92909967894897</v>
      </c>
    </row>
    <row r="329" spans="1:33" ht="11.25" customHeight="1" x14ac:dyDescent="0.3">
      <c r="A329" s="4" t="s">
        <v>21</v>
      </c>
      <c r="B329" s="4" t="s">
        <v>35</v>
      </c>
      <c r="C329" s="4" t="s">
        <v>23</v>
      </c>
      <c r="D329" s="4" t="s">
        <v>52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44621</v>
      </c>
      <c r="J329" s="6">
        <v>0</v>
      </c>
      <c r="K329" s="6">
        <v>0</v>
      </c>
      <c r="L329" s="6">
        <v>0.78800000000000003</v>
      </c>
      <c r="M329" s="6">
        <v>0.78800000000000003</v>
      </c>
      <c r="N329" s="6">
        <v>0.78800000000000003</v>
      </c>
      <c r="O329" s="6">
        <v>0.78800000000000003</v>
      </c>
      <c r="P329" s="6">
        <v>4</v>
      </c>
      <c r="Q329" s="4" t="s">
        <v>26</v>
      </c>
      <c r="R329" s="4">
        <v>0</v>
      </c>
      <c r="S329" s="6">
        <v>0</v>
      </c>
      <c r="T329" s="6">
        <v>67</v>
      </c>
      <c r="U329" s="6">
        <v>39</v>
      </c>
      <c r="V329" s="6">
        <f>IF(ISERROR(VLOOKUP($S$329,'TAR FIN'!$A$1:$O$85,15,0)),0,VLOOKUP($S$329,'TAR FIN'!$A$1:$O$85,15,0))</f>
        <v>0</v>
      </c>
      <c r="W329" s="6">
        <f>IF(ISERROR(VLOOKUP($T$329,'TAR FIN'!$A$1:$O$85,15,0)),0,VLOOKUP($T$329,'TAR FIN'!$A$1:$O$85,15,0))</f>
        <v>442.96</v>
      </c>
      <c r="X329" s="6">
        <f>IF(ISERROR(VLOOKUP($U$329,'TAR FIN'!$A$1:$O$85,15,0)),0,VLOOKUP($U$329,'TAR FIN'!$A$1:$O$85,15,0))</f>
        <v>185.74</v>
      </c>
      <c r="Y329" s="6"/>
      <c r="Z329" s="6">
        <f ca="1">('TUSD BE'!$AM$48+'TUSD BF'!$AM$48+'TUSD CVA'!$AM$48)*1</f>
        <v>519.26043781347539</v>
      </c>
      <c r="AA329" s="6">
        <f>('TE BE'!$AB$39+'TE BF'!$AB$39+'TE CVA'!$AB$39)*1</f>
        <v>166.7634981586946</v>
      </c>
      <c r="AB329" s="6">
        <f>$K$329*$V$329</f>
        <v>0</v>
      </c>
      <c r="AC329" s="6">
        <f>$M$329*$W$329</f>
        <v>349.05248</v>
      </c>
      <c r="AD329" s="6">
        <f>$O$329*$X$329</f>
        <v>146.36312000000001</v>
      </c>
      <c r="AE329" s="6">
        <f>$K$329*$Y$329</f>
        <v>0</v>
      </c>
      <c r="AF329" s="6">
        <f ca="1">$M$329*$Z$329</f>
        <v>409.17722499701864</v>
      </c>
      <c r="AG329" s="6">
        <f>$O$329*$AA$329</f>
        <v>131.40963654905136</v>
      </c>
    </row>
    <row r="330" spans="1:33" ht="11.25" customHeight="1" x14ac:dyDescent="0.3">
      <c r="A330" s="4" t="s">
        <v>21</v>
      </c>
      <c r="B330" s="4" t="s">
        <v>35</v>
      </c>
      <c r="C330" s="4" t="s">
        <v>23</v>
      </c>
      <c r="D330" s="4" t="s">
        <v>52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44652</v>
      </c>
      <c r="J330" s="6">
        <v>0</v>
      </c>
      <c r="K330" s="6">
        <v>0</v>
      </c>
      <c r="L330" s="6">
        <v>0.55900000000000005</v>
      </c>
      <c r="M330" s="6">
        <v>0.55900000000000005</v>
      </c>
      <c r="N330" s="6">
        <v>0.55900000000000005</v>
      </c>
      <c r="O330" s="6">
        <v>0.55900000000000005</v>
      </c>
      <c r="P330" s="6">
        <v>4</v>
      </c>
      <c r="Q330" s="4" t="s">
        <v>26</v>
      </c>
      <c r="R330" s="4">
        <v>0</v>
      </c>
      <c r="S330" s="6">
        <v>0</v>
      </c>
      <c r="T330" s="6">
        <v>67</v>
      </c>
      <c r="U330" s="6">
        <v>39</v>
      </c>
      <c r="V330" s="6">
        <f>IF(ISERROR(VLOOKUP($S$330,'TAR FIN'!$A$1:$O$85,15,0)),0,VLOOKUP($S$330,'TAR FIN'!$A$1:$O$85,15,0))</f>
        <v>0</v>
      </c>
      <c r="W330" s="6">
        <f>IF(ISERROR(VLOOKUP($T$330,'TAR FIN'!$A$1:$O$85,15,0)),0,VLOOKUP($T$330,'TAR FIN'!$A$1:$O$85,15,0))</f>
        <v>442.96</v>
      </c>
      <c r="X330" s="6">
        <f>IF(ISERROR(VLOOKUP($U$330,'TAR FIN'!$A$1:$O$85,15,0)),0,VLOOKUP($U$330,'TAR FIN'!$A$1:$O$85,15,0))</f>
        <v>185.74</v>
      </c>
      <c r="Y330" s="6"/>
      <c r="Z330" s="6">
        <f ca="1">('TUSD BE'!$AM$48+'TUSD BF'!$AM$48+'TUSD CVA'!$AM$48)*1</f>
        <v>519.26043781347539</v>
      </c>
      <c r="AA330" s="6">
        <f>('TE BE'!$AB$39+'TE BF'!$AB$39+'TE CVA'!$AB$39)*1</f>
        <v>166.7634981586946</v>
      </c>
      <c r="AB330" s="6">
        <f>$K$330*$V$330</f>
        <v>0</v>
      </c>
      <c r="AC330" s="6">
        <f>$M$330*$W$330</f>
        <v>247.61464000000001</v>
      </c>
      <c r="AD330" s="6">
        <f>$O$330*$X$330</f>
        <v>103.82866000000001</v>
      </c>
      <c r="AE330" s="6">
        <f>$K$330*$Y$330</f>
        <v>0</v>
      </c>
      <c r="AF330" s="6">
        <f ca="1">$M$330*$Z$330</f>
        <v>290.26658473773279</v>
      </c>
      <c r="AG330" s="6">
        <f>$O$330*$AA$330</f>
        <v>93.220795470710286</v>
      </c>
    </row>
    <row r="331" spans="1:33" ht="11.25" customHeight="1" x14ac:dyDescent="0.3">
      <c r="A331" s="4" t="s">
        <v>21</v>
      </c>
      <c r="B331" s="4" t="s">
        <v>35</v>
      </c>
      <c r="C331" s="4" t="s">
        <v>23</v>
      </c>
      <c r="D331" s="4" t="s">
        <v>52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44682</v>
      </c>
      <c r="J331" s="6">
        <v>0</v>
      </c>
      <c r="K331" s="6">
        <v>0</v>
      </c>
      <c r="L331" s="6">
        <v>0.50600000000000001</v>
      </c>
      <c r="M331" s="6">
        <v>0.50600000000000001</v>
      </c>
      <c r="N331" s="6">
        <v>0.50600000000000001</v>
      </c>
      <c r="O331" s="6">
        <v>0.50600000000000001</v>
      </c>
      <c r="P331" s="6">
        <v>4</v>
      </c>
      <c r="Q331" s="4" t="s">
        <v>26</v>
      </c>
      <c r="R331" s="4">
        <v>0</v>
      </c>
      <c r="S331" s="6">
        <v>0</v>
      </c>
      <c r="T331" s="6">
        <v>67</v>
      </c>
      <c r="U331" s="6">
        <v>39</v>
      </c>
      <c r="V331" s="6">
        <f>IF(ISERROR(VLOOKUP($S$331,'TAR FIN'!$A$1:$O$85,15,0)),0,VLOOKUP($S$331,'TAR FIN'!$A$1:$O$85,15,0))</f>
        <v>0</v>
      </c>
      <c r="W331" s="6">
        <f>IF(ISERROR(VLOOKUP($T$331,'TAR FIN'!$A$1:$O$85,15,0)),0,VLOOKUP($T$331,'TAR FIN'!$A$1:$O$85,15,0))</f>
        <v>442.96</v>
      </c>
      <c r="X331" s="6">
        <f>IF(ISERROR(VLOOKUP($U$331,'TAR FIN'!$A$1:$O$85,15,0)),0,VLOOKUP($U$331,'TAR FIN'!$A$1:$O$85,15,0))</f>
        <v>185.74</v>
      </c>
      <c r="Y331" s="6"/>
      <c r="Z331" s="6">
        <f ca="1">('TUSD BE'!$AM$48+'TUSD BF'!$AM$48+'TUSD CVA'!$AM$48)*1</f>
        <v>519.26043781347539</v>
      </c>
      <c r="AA331" s="6">
        <f>('TE BE'!$AB$39+'TE BF'!$AB$39+'TE CVA'!$AB$39)*1</f>
        <v>166.7634981586946</v>
      </c>
      <c r="AB331" s="6">
        <f>$K$331*$V$331</f>
        <v>0</v>
      </c>
      <c r="AC331" s="6">
        <f>$M$331*$W$331</f>
        <v>224.13775999999999</v>
      </c>
      <c r="AD331" s="6">
        <f>$O$331*$X$331</f>
        <v>93.984440000000006</v>
      </c>
      <c r="AE331" s="6">
        <f>$K$331*$Y$331</f>
        <v>0</v>
      </c>
      <c r="AF331" s="6">
        <f ca="1">$M$331*$Z$331</f>
        <v>262.74578153361853</v>
      </c>
      <c r="AG331" s="6">
        <f>$O$331*$AA$331</f>
        <v>84.382330068299467</v>
      </c>
    </row>
    <row r="332" spans="1:33" ht="11.25" customHeight="1" x14ac:dyDescent="0.3">
      <c r="A332" s="4" t="s">
        <v>21</v>
      </c>
      <c r="B332" s="4" t="s">
        <v>35</v>
      </c>
      <c r="C332" s="4" t="s">
        <v>23</v>
      </c>
      <c r="D332" s="4" t="s">
        <v>52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44713</v>
      </c>
      <c r="J332" s="6">
        <v>0</v>
      </c>
      <c r="K332" s="6">
        <v>0</v>
      </c>
      <c r="L332" s="6">
        <v>0.69299999999999995</v>
      </c>
      <c r="M332" s="6">
        <v>0.69299999999999995</v>
      </c>
      <c r="N332" s="6">
        <v>0.69299999999999995</v>
      </c>
      <c r="O332" s="6">
        <v>0.69299999999999995</v>
      </c>
      <c r="P332" s="6">
        <v>4</v>
      </c>
      <c r="Q332" s="4" t="s">
        <v>26</v>
      </c>
      <c r="R332" s="4">
        <v>0</v>
      </c>
      <c r="S332" s="6">
        <v>0</v>
      </c>
      <c r="T332" s="6">
        <v>67</v>
      </c>
      <c r="U332" s="6">
        <v>39</v>
      </c>
      <c r="V332" s="6">
        <f>IF(ISERROR(VLOOKUP($S$332,'TAR FIN'!$A$1:$O$85,15,0)),0,VLOOKUP($S$332,'TAR FIN'!$A$1:$O$85,15,0))</f>
        <v>0</v>
      </c>
      <c r="W332" s="6">
        <f>IF(ISERROR(VLOOKUP($T$332,'TAR FIN'!$A$1:$O$85,15,0)),0,VLOOKUP($T$332,'TAR FIN'!$A$1:$O$85,15,0))</f>
        <v>442.96</v>
      </c>
      <c r="X332" s="6">
        <f>IF(ISERROR(VLOOKUP($U$332,'TAR FIN'!$A$1:$O$85,15,0)),0,VLOOKUP($U$332,'TAR FIN'!$A$1:$O$85,15,0))</f>
        <v>185.74</v>
      </c>
      <c r="Y332" s="6"/>
      <c r="Z332" s="6">
        <f ca="1">('TUSD BE'!$AM$48+'TUSD BF'!$AM$48+'TUSD CVA'!$AM$48)*1</f>
        <v>519.26043781347539</v>
      </c>
      <c r="AA332" s="6">
        <f>('TE BE'!$AB$39+'TE BF'!$AB$39+'TE CVA'!$AB$39)*1</f>
        <v>166.7634981586946</v>
      </c>
      <c r="AB332" s="6">
        <f>$K$332*$V$332</f>
        <v>0</v>
      </c>
      <c r="AC332" s="6">
        <f>$M$332*$W$332</f>
        <v>306.97127999999998</v>
      </c>
      <c r="AD332" s="6">
        <f>$O$332*$X$332</f>
        <v>128.71781999999999</v>
      </c>
      <c r="AE332" s="6">
        <f>$K$332*$Y$332</f>
        <v>0</v>
      </c>
      <c r="AF332" s="6">
        <f ca="1">$M$332*$Z$332</f>
        <v>359.8474834047384</v>
      </c>
      <c r="AG332" s="6">
        <f>$O$332*$AA$332</f>
        <v>115.56710422397535</v>
      </c>
    </row>
    <row r="333" spans="1:33" ht="11.25" customHeight="1" x14ac:dyDescent="0.3">
      <c r="A333" s="4" t="s">
        <v>21</v>
      </c>
      <c r="B333" s="4" t="s">
        <v>35</v>
      </c>
      <c r="C333" s="4" t="s">
        <v>23</v>
      </c>
      <c r="D333" s="4" t="s">
        <v>52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44743</v>
      </c>
      <c r="J333" s="6">
        <v>0</v>
      </c>
      <c r="K333" s="6">
        <v>0</v>
      </c>
      <c r="L333" s="6">
        <v>0.58499999999999996</v>
      </c>
      <c r="M333" s="6">
        <v>0.58499999999999996</v>
      </c>
      <c r="N333" s="6">
        <v>0.58499999999999996</v>
      </c>
      <c r="O333" s="6">
        <v>0.58499999999999996</v>
      </c>
      <c r="P333" s="6">
        <v>4</v>
      </c>
      <c r="Q333" s="4" t="s">
        <v>26</v>
      </c>
      <c r="R333" s="4">
        <v>0</v>
      </c>
      <c r="S333" s="6">
        <v>0</v>
      </c>
      <c r="T333" s="6">
        <v>67</v>
      </c>
      <c r="U333" s="6">
        <v>39</v>
      </c>
      <c r="V333" s="6">
        <f>IF(ISERROR(VLOOKUP($S$333,'TAR FIN'!$A$1:$O$85,15,0)),0,VLOOKUP($S$333,'TAR FIN'!$A$1:$O$85,15,0))</f>
        <v>0</v>
      </c>
      <c r="W333" s="6">
        <f>IF(ISERROR(VLOOKUP($T$333,'TAR FIN'!$A$1:$O$85,15,0)),0,VLOOKUP($T$333,'TAR FIN'!$A$1:$O$85,15,0))</f>
        <v>442.96</v>
      </c>
      <c r="X333" s="6">
        <f>IF(ISERROR(VLOOKUP($U$333,'TAR FIN'!$A$1:$O$85,15,0)),0,VLOOKUP($U$333,'TAR FIN'!$A$1:$O$85,15,0))</f>
        <v>185.74</v>
      </c>
      <c r="Y333" s="6"/>
      <c r="Z333" s="6">
        <f ca="1">('TUSD BE'!$AM$48+'TUSD BF'!$AM$48+'TUSD CVA'!$AM$48)*1</f>
        <v>519.26043781347539</v>
      </c>
      <c r="AA333" s="6">
        <f>('TE BE'!$AB$39+'TE BF'!$AB$39+'TE CVA'!$AB$39)*1</f>
        <v>166.7634981586946</v>
      </c>
      <c r="AB333" s="6">
        <f>$K$333*$V$333</f>
        <v>0</v>
      </c>
      <c r="AC333" s="6">
        <f>$M$333*$W$333</f>
        <v>259.13159999999999</v>
      </c>
      <c r="AD333" s="6">
        <f>$O$333*$X$333</f>
        <v>108.6579</v>
      </c>
      <c r="AE333" s="6">
        <f>$K$333*$Y$333</f>
        <v>0</v>
      </c>
      <c r="AF333" s="6">
        <f ca="1">$M$333*$Z$333</f>
        <v>303.76735612088311</v>
      </c>
      <c r="AG333" s="6">
        <f>$O$333*$AA$333</f>
        <v>97.556646422836337</v>
      </c>
    </row>
    <row r="334" spans="1:33" ht="11.25" customHeight="1" x14ac:dyDescent="0.3">
      <c r="A334" s="4" t="s">
        <v>21</v>
      </c>
      <c r="B334" s="4" t="s">
        <v>35</v>
      </c>
      <c r="C334" s="4" t="s">
        <v>23</v>
      </c>
      <c r="D334" s="4" t="s">
        <v>52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44774</v>
      </c>
      <c r="J334" s="6">
        <v>0</v>
      </c>
      <c r="K334" s="6">
        <v>0</v>
      </c>
      <c r="L334" s="6">
        <v>0.6</v>
      </c>
      <c r="M334" s="6">
        <v>0.6</v>
      </c>
      <c r="N334" s="6">
        <v>0.6</v>
      </c>
      <c r="O334" s="6">
        <v>0.6</v>
      </c>
      <c r="P334" s="6">
        <v>4</v>
      </c>
      <c r="Q334" s="4" t="s">
        <v>26</v>
      </c>
      <c r="R334" s="4">
        <v>0</v>
      </c>
      <c r="S334" s="6">
        <v>0</v>
      </c>
      <c r="T334" s="6">
        <v>67</v>
      </c>
      <c r="U334" s="6">
        <v>39</v>
      </c>
      <c r="V334" s="6">
        <f>IF(ISERROR(VLOOKUP($S$334,'TAR FIN'!$A$1:$O$85,15,0)),0,VLOOKUP($S$334,'TAR FIN'!$A$1:$O$85,15,0))</f>
        <v>0</v>
      </c>
      <c r="W334" s="6">
        <f>IF(ISERROR(VLOOKUP($T$334,'TAR FIN'!$A$1:$O$85,15,0)),0,VLOOKUP($T$334,'TAR FIN'!$A$1:$O$85,15,0))</f>
        <v>442.96</v>
      </c>
      <c r="X334" s="6">
        <f>IF(ISERROR(VLOOKUP($U$334,'TAR FIN'!$A$1:$O$85,15,0)),0,VLOOKUP($U$334,'TAR FIN'!$A$1:$O$85,15,0))</f>
        <v>185.74</v>
      </c>
      <c r="Y334" s="6"/>
      <c r="Z334" s="6">
        <f ca="1">('TUSD BE'!$AM$48+'TUSD BF'!$AM$48+'TUSD CVA'!$AM$48)*1</f>
        <v>519.26043781347539</v>
      </c>
      <c r="AA334" s="6">
        <f>('TE BE'!$AB$39+'TE BF'!$AB$39+'TE CVA'!$AB$39)*1</f>
        <v>166.7634981586946</v>
      </c>
      <c r="AB334" s="6">
        <f>$K$334*$V$334</f>
        <v>0</v>
      </c>
      <c r="AC334" s="6">
        <f>$M$334*$W$334</f>
        <v>265.77599999999995</v>
      </c>
      <c r="AD334" s="6">
        <f>$O$334*$X$334</f>
        <v>111.444</v>
      </c>
      <c r="AE334" s="6">
        <f>$K$334*$Y$334</f>
        <v>0</v>
      </c>
      <c r="AF334" s="6">
        <f ca="1">$M$334*$Z$334</f>
        <v>311.55626268808521</v>
      </c>
      <c r="AG334" s="6">
        <f>$O$334*$AA$334</f>
        <v>100.05809889521676</v>
      </c>
    </row>
    <row r="335" spans="1:33" ht="11.25" customHeight="1" x14ac:dyDescent="0.3">
      <c r="A335" s="4" t="s">
        <v>21</v>
      </c>
      <c r="B335" s="4" t="s">
        <v>35</v>
      </c>
      <c r="C335" s="4" t="s">
        <v>23</v>
      </c>
      <c r="D335" s="4" t="s">
        <v>36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44440</v>
      </c>
      <c r="J335" s="6">
        <v>0</v>
      </c>
      <c r="K335" s="6">
        <v>0</v>
      </c>
      <c r="L335" s="6">
        <v>42.145000000000003</v>
      </c>
      <c r="M335" s="6">
        <v>42.145000000000003</v>
      </c>
      <c r="N335" s="6">
        <v>42.145000000000003</v>
      </c>
      <c r="O335" s="6">
        <v>42.145000000000003</v>
      </c>
      <c r="P335" s="6">
        <v>51</v>
      </c>
      <c r="Q335" s="4" t="s">
        <v>26</v>
      </c>
      <c r="R335" s="4">
        <v>0</v>
      </c>
      <c r="S335" s="6">
        <v>0</v>
      </c>
      <c r="T335" s="6">
        <v>67</v>
      </c>
      <c r="U335" s="6">
        <v>39</v>
      </c>
      <c r="V335" s="6">
        <f>IF(ISERROR(VLOOKUP($S$335,'TAR FIN'!$A$1:$O$85,15,0)),0,VLOOKUP($S$335,'TAR FIN'!$A$1:$O$85,15,0))</f>
        <v>0</v>
      </c>
      <c r="W335" s="6">
        <f>IF(ISERROR(VLOOKUP($T$335,'TAR FIN'!$A$1:$O$85,15,0)),0,VLOOKUP($T$335,'TAR FIN'!$A$1:$O$85,15,0))</f>
        <v>442.96</v>
      </c>
      <c r="X335" s="6">
        <f>IF(ISERROR(VLOOKUP($U$335,'TAR FIN'!$A$1:$O$85,15,0)),0,VLOOKUP($U$335,'TAR FIN'!$A$1:$O$85,15,0))</f>
        <v>185.74</v>
      </c>
      <c r="Y335" s="6"/>
      <c r="Z335" s="6">
        <f ca="1">('TUSD BE'!$AM$48+'TUSD BF'!$AM$48+'TUSD CVA'!$AM$48)*1</f>
        <v>519.26043781347539</v>
      </c>
      <c r="AA335" s="6">
        <f>('TE BE'!$AB$39+'TE BF'!$AB$39+'TE CVA'!$AB$39)*1</f>
        <v>166.7634981586946</v>
      </c>
      <c r="AB335" s="6">
        <f>$K$335*$V$335</f>
        <v>0</v>
      </c>
      <c r="AC335" s="6">
        <f>$M$335*$W$335</f>
        <v>18668.549200000001</v>
      </c>
      <c r="AD335" s="6">
        <f>$O$335*$X$335</f>
        <v>7828.0123000000012</v>
      </c>
      <c r="AE335" s="6">
        <f>$K$335*$Y$335</f>
        <v>0</v>
      </c>
      <c r="AF335" s="6">
        <f ca="1">$M$335*$Z$335</f>
        <v>21884.231151648921</v>
      </c>
      <c r="AG335" s="6">
        <f>$O$335*$AA$335</f>
        <v>7028.2476298981846</v>
      </c>
    </row>
    <row r="336" spans="1:33" ht="11.25" customHeight="1" x14ac:dyDescent="0.3">
      <c r="A336" s="4" t="s">
        <v>28</v>
      </c>
      <c r="B336" s="4" t="s">
        <v>35</v>
      </c>
      <c r="C336" s="4" t="s">
        <v>23</v>
      </c>
      <c r="D336" s="4" t="s">
        <v>36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44440</v>
      </c>
      <c r="J336" s="6">
        <v>0</v>
      </c>
      <c r="K336" s="6">
        <v>0</v>
      </c>
      <c r="L336" s="6">
        <v>104.965</v>
      </c>
      <c r="M336" s="6">
        <v>104.965</v>
      </c>
      <c r="N336" s="6">
        <v>104.965</v>
      </c>
      <c r="O336" s="6">
        <v>104.965</v>
      </c>
      <c r="P336" s="6">
        <v>2</v>
      </c>
      <c r="Q336" s="4" t="s">
        <v>26</v>
      </c>
      <c r="R336" s="4">
        <v>0</v>
      </c>
      <c r="S336" s="6">
        <v>0</v>
      </c>
      <c r="T336" s="6">
        <v>67</v>
      </c>
      <c r="U336" s="6">
        <v>39</v>
      </c>
      <c r="V336" s="6">
        <f>IF(ISERROR(VLOOKUP($S$336,'TAR FIN'!$A$1:$O$85,15,0)),0,VLOOKUP($S$336,'TAR FIN'!$A$1:$O$85,15,0))</f>
        <v>0</v>
      </c>
      <c r="W336" s="6">
        <f>IF(ISERROR(VLOOKUP($T$336,'TAR FIN'!$A$1:$O$85,15,0)),0,VLOOKUP($T$336,'TAR FIN'!$A$1:$O$85,15,0))</f>
        <v>442.96</v>
      </c>
      <c r="X336" s="6">
        <f>IF(ISERROR(VLOOKUP($U$336,'TAR FIN'!$A$1:$O$85,15,0)),0,VLOOKUP($U$336,'TAR FIN'!$A$1:$O$85,15,0))</f>
        <v>185.74</v>
      </c>
      <c r="Y336" s="6"/>
      <c r="Z336" s="6">
        <f ca="1">('TUSD BE'!$AM$48+'TUSD BF'!$AM$48+'TUSD CVA'!$AM$48)*1</f>
        <v>519.26043781347539</v>
      </c>
      <c r="AA336" s="6">
        <f>('TE BE'!$AB$39+'TE BF'!$AB$39+'TE CVA'!$AB$39)*1</f>
        <v>166.7634981586946</v>
      </c>
      <c r="AB336" s="6">
        <f>$K$336*$V$336</f>
        <v>0</v>
      </c>
      <c r="AC336" s="6">
        <f>$M$336*$W$336</f>
        <v>46495.296399999999</v>
      </c>
      <c r="AD336" s="6">
        <f>$O$336*$X$336</f>
        <v>19496.199100000002</v>
      </c>
      <c r="AE336" s="6">
        <f>$K$336*$Y$336</f>
        <v>0</v>
      </c>
      <c r="AF336" s="6">
        <f ca="1">$M$336*$Z$336</f>
        <v>54504.171855091445</v>
      </c>
      <c r="AG336" s="6">
        <f>$O$336*$AA$336</f>
        <v>17504.33058422738</v>
      </c>
    </row>
    <row r="337" spans="1:33" ht="11.25" customHeight="1" x14ac:dyDescent="0.3">
      <c r="A337" s="4" t="s">
        <v>28</v>
      </c>
      <c r="B337" s="4" t="s">
        <v>35</v>
      </c>
      <c r="C337" s="4" t="s">
        <v>23</v>
      </c>
      <c r="D337" s="4" t="s">
        <v>36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44440</v>
      </c>
      <c r="J337" s="6">
        <v>0</v>
      </c>
      <c r="K337" s="6">
        <v>0</v>
      </c>
      <c r="L337" s="6">
        <v>-99.763000000000005</v>
      </c>
      <c r="M337" s="6">
        <v>-99.763000000000005</v>
      </c>
      <c r="N337" s="6">
        <v>-99.763000000000005</v>
      </c>
      <c r="O337" s="6">
        <v>-99.763000000000005</v>
      </c>
      <c r="P337" s="6">
        <v>1</v>
      </c>
      <c r="Q337" s="4" t="s">
        <v>26</v>
      </c>
      <c r="R337" s="4">
        <v>0</v>
      </c>
      <c r="S337" s="6">
        <v>0</v>
      </c>
      <c r="T337" s="6">
        <v>67</v>
      </c>
      <c r="U337" s="6">
        <v>39</v>
      </c>
      <c r="V337" s="6">
        <f>IF(ISERROR(VLOOKUP($S$337,'TAR FIN'!$A$1:$O$85,15,0)),0,VLOOKUP($S$337,'TAR FIN'!$A$1:$O$85,15,0))</f>
        <v>0</v>
      </c>
      <c r="W337" s="6">
        <f>IF(ISERROR(VLOOKUP($T$337,'TAR FIN'!$A$1:$O$85,15,0)),0,VLOOKUP($T$337,'TAR FIN'!$A$1:$O$85,15,0))</f>
        <v>442.96</v>
      </c>
      <c r="X337" s="6">
        <f>IF(ISERROR(VLOOKUP($U$337,'TAR FIN'!$A$1:$O$85,15,0)),0,VLOOKUP($U$337,'TAR FIN'!$A$1:$O$85,15,0))</f>
        <v>185.74</v>
      </c>
      <c r="Y337" s="6"/>
      <c r="Z337" s="6">
        <f ca="1">('TUSD BE'!$AM$48+'TUSD BF'!$AM$48+'TUSD CVA'!$AM$48)*1</f>
        <v>519.26043781347539</v>
      </c>
      <c r="AA337" s="6">
        <f>('TE BE'!$AB$39+'TE BF'!$AB$39+'TE CVA'!$AB$39)*1</f>
        <v>166.7634981586946</v>
      </c>
      <c r="AB337" s="6">
        <f>$K$337*$V$337</f>
        <v>0</v>
      </c>
      <c r="AC337" s="6">
        <f>$M$337*$W$337</f>
        <v>-44191.018479999999</v>
      </c>
      <c r="AD337" s="6">
        <f>$O$337*$X$337</f>
        <v>-18529.979620000002</v>
      </c>
      <c r="AE337" s="6">
        <f>$K$337*$Y$337</f>
        <v>0</v>
      </c>
      <c r="AF337" s="6">
        <f ca="1">$M$337*$Z$337</f>
        <v>-51802.979057585748</v>
      </c>
      <c r="AG337" s="6">
        <f>$O$337*$AA$337</f>
        <v>-16636.826866805852</v>
      </c>
    </row>
    <row r="338" spans="1:33" ht="11.25" customHeight="1" x14ac:dyDescent="0.3">
      <c r="A338" s="4" t="s">
        <v>21</v>
      </c>
      <c r="B338" s="4" t="s">
        <v>35</v>
      </c>
      <c r="C338" s="4" t="s">
        <v>23</v>
      </c>
      <c r="D338" s="4" t="s">
        <v>36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44470</v>
      </c>
      <c r="J338" s="6">
        <v>0</v>
      </c>
      <c r="K338" s="6">
        <v>0</v>
      </c>
      <c r="L338" s="6">
        <v>45.834000000000003</v>
      </c>
      <c r="M338" s="6">
        <v>45.834000000000003</v>
      </c>
      <c r="N338" s="6">
        <v>45.834000000000003</v>
      </c>
      <c r="O338" s="6">
        <v>45.834000000000003</v>
      </c>
      <c r="P338" s="6">
        <v>50</v>
      </c>
      <c r="Q338" s="4" t="s">
        <v>26</v>
      </c>
      <c r="R338" s="4">
        <v>0</v>
      </c>
      <c r="S338" s="6">
        <v>0</v>
      </c>
      <c r="T338" s="6">
        <v>67</v>
      </c>
      <c r="U338" s="6">
        <v>39</v>
      </c>
      <c r="V338" s="6">
        <f>IF(ISERROR(VLOOKUP($S$338,'TAR FIN'!$A$1:$O$85,15,0)),0,VLOOKUP($S$338,'TAR FIN'!$A$1:$O$85,15,0))</f>
        <v>0</v>
      </c>
      <c r="W338" s="6">
        <f>IF(ISERROR(VLOOKUP($T$338,'TAR FIN'!$A$1:$O$85,15,0)),0,VLOOKUP($T$338,'TAR FIN'!$A$1:$O$85,15,0))</f>
        <v>442.96</v>
      </c>
      <c r="X338" s="6">
        <f>IF(ISERROR(VLOOKUP($U$338,'TAR FIN'!$A$1:$O$85,15,0)),0,VLOOKUP($U$338,'TAR FIN'!$A$1:$O$85,15,0))</f>
        <v>185.74</v>
      </c>
      <c r="Y338" s="6"/>
      <c r="Z338" s="6">
        <f ca="1">('TUSD BE'!$AM$48+'TUSD BF'!$AM$48+'TUSD CVA'!$AM$48)*1</f>
        <v>519.26043781347539</v>
      </c>
      <c r="AA338" s="6">
        <f>('TE BE'!$AB$39+'TE BF'!$AB$39+'TE CVA'!$AB$39)*1</f>
        <v>166.7634981586946</v>
      </c>
      <c r="AB338" s="6">
        <f>$K$338*$V$338</f>
        <v>0</v>
      </c>
      <c r="AC338" s="6">
        <f>$M$338*$W$338</f>
        <v>20302.628639999999</v>
      </c>
      <c r="AD338" s="6">
        <f>$O$338*$X$338</f>
        <v>8513.2071600000017</v>
      </c>
      <c r="AE338" s="6">
        <f>$K$338*$Y$338</f>
        <v>0</v>
      </c>
      <c r="AF338" s="6">
        <f ca="1">$M$338*$Z$338</f>
        <v>23799.782906742832</v>
      </c>
      <c r="AG338" s="6">
        <f>$O$338*$AA$338</f>
        <v>7643.4381746056088</v>
      </c>
    </row>
    <row r="339" spans="1:33" ht="11.25" customHeight="1" x14ac:dyDescent="0.3">
      <c r="A339" s="4" t="s">
        <v>28</v>
      </c>
      <c r="B339" s="4" t="s">
        <v>35</v>
      </c>
      <c r="C339" s="4" t="s">
        <v>23</v>
      </c>
      <c r="D339" s="4" t="s">
        <v>36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44470</v>
      </c>
      <c r="J339" s="6">
        <v>0</v>
      </c>
      <c r="K339" s="6">
        <v>0</v>
      </c>
      <c r="L339" s="6">
        <v>3.6989999999999998</v>
      </c>
      <c r="M339" s="6">
        <v>3.6989999999999998</v>
      </c>
      <c r="N339" s="6">
        <v>3.6989999999999998</v>
      </c>
      <c r="O339" s="6">
        <v>3.6989999999999998</v>
      </c>
      <c r="P339" s="6">
        <v>2</v>
      </c>
      <c r="Q339" s="4" t="s">
        <v>26</v>
      </c>
      <c r="R339" s="4">
        <v>0</v>
      </c>
      <c r="S339" s="6">
        <v>0</v>
      </c>
      <c r="T339" s="6">
        <v>67</v>
      </c>
      <c r="U339" s="6">
        <v>39</v>
      </c>
      <c r="V339" s="6">
        <f>IF(ISERROR(VLOOKUP($S$339,'TAR FIN'!$A$1:$O$85,15,0)),0,VLOOKUP($S$339,'TAR FIN'!$A$1:$O$85,15,0))</f>
        <v>0</v>
      </c>
      <c r="W339" s="6">
        <f>IF(ISERROR(VLOOKUP($T$339,'TAR FIN'!$A$1:$O$85,15,0)),0,VLOOKUP($T$339,'TAR FIN'!$A$1:$O$85,15,0))</f>
        <v>442.96</v>
      </c>
      <c r="X339" s="6">
        <f>IF(ISERROR(VLOOKUP($U$339,'TAR FIN'!$A$1:$O$85,15,0)),0,VLOOKUP($U$339,'TAR FIN'!$A$1:$O$85,15,0))</f>
        <v>185.74</v>
      </c>
      <c r="Y339" s="6"/>
      <c r="Z339" s="6">
        <f ca="1">('TUSD BE'!$AM$48+'TUSD BF'!$AM$48+'TUSD CVA'!$AM$48)*1</f>
        <v>519.26043781347539</v>
      </c>
      <c r="AA339" s="6">
        <f>('TE BE'!$AB$39+'TE BF'!$AB$39+'TE CVA'!$AB$39)*1</f>
        <v>166.7634981586946</v>
      </c>
      <c r="AB339" s="6">
        <f>$K$339*$V$339</f>
        <v>0</v>
      </c>
      <c r="AC339" s="6">
        <f>$M$339*$W$339</f>
        <v>1638.5090399999999</v>
      </c>
      <c r="AD339" s="6">
        <f>$O$339*$X$339</f>
        <v>687.05226000000005</v>
      </c>
      <c r="AE339" s="6">
        <f>$K$339*$Y$339</f>
        <v>0</v>
      </c>
      <c r="AF339" s="6">
        <f ca="1">$M$339*$Z$339</f>
        <v>1920.7443594720453</v>
      </c>
      <c r="AG339" s="6">
        <f>$O$339*$AA$339</f>
        <v>616.85817968901131</v>
      </c>
    </row>
    <row r="340" spans="1:33" ht="11.25" customHeight="1" x14ac:dyDescent="0.3">
      <c r="A340" s="4" t="s">
        <v>21</v>
      </c>
      <c r="B340" s="4" t="s">
        <v>35</v>
      </c>
      <c r="C340" s="4" t="s">
        <v>23</v>
      </c>
      <c r="D340" s="4" t="s">
        <v>36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44501</v>
      </c>
      <c r="J340" s="6">
        <v>0</v>
      </c>
      <c r="K340" s="6">
        <v>0</v>
      </c>
      <c r="L340" s="6">
        <v>41.173000000000002</v>
      </c>
      <c r="M340" s="6">
        <v>41.173000000000002</v>
      </c>
      <c r="N340" s="6">
        <v>41.173000000000002</v>
      </c>
      <c r="O340" s="6">
        <v>41.173000000000002</v>
      </c>
      <c r="P340" s="6">
        <v>48</v>
      </c>
      <c r="Q340" s="4" t="s">
        <v>26</v>
      </c>
      <c r="R340" s="4">
        <v>0</v>
      </c>
      <c r="S340" s="6">
        <v>0</v>
      </c>
      <c r="T340" s="6">
        <v>67</v>
      </c>
      <c r="U340" s="6">
        <v>39</v>
      </c>
      <c r="V340" s="6">
        <f>IF(ISERROR(VLOOKUP($S$340,'TAR FIN'!$A$1:$O$85,15,0)),0,VLOOKUP($S$340,'TAR FIN'!$A$1:$O$85,15,0))</f>
        <v>0</v>
      </c>
      <c r="W340" s="6">
        <f>IF(ISERROR(VLOOKUP($T$340,'TAR FIN'!$A$1:$O$85,15,0)),0,VLOOKUP($T$340,'TAR FIN'!$A$1:$O$85,15,0))</f>
        <v>442.96</v>
      </c>
      <c r="X340" s="6">
        <f>IF(ISERROR(VLOOKUP($U$340,'TAR FIN'!$A$1:$O$85,15,0)),0,VLOOKUP($U$340,'TAR FIN'!$A$1:$O$85,15,0))</f>
        <v>185.74</v>
      </c>
      <c r="Y340" s="6"/>
      <c r="Z340" s="6">
        <f ca="1">('TUSD BE'!$AM$48+'TUSD BF'!$AM$48+'TUSD CVA'!$AM$48)*1</f>
        <v>519.26043781347539</v>
      </c>
      <c r="AA340" s="6">
        <f>('TE BE'!$AB$39+'TE BF'!$AB$39+'TE CVA'!$AB$39)*1</f>
        <v>166.7634981586946</v>
      </c>
      <c r="AB340" s="6">
        <f>$K$340*$V$340</f>
        <v>0</v>
      </c>
      <c r="AC340" s="6">
        <f>$M$340*$W$340</f>
        <v>18237.99208</v>
      </c>
      <c r="AD340" s="6">
        <f>$O$340*$X$340</f>
        <v>7647.4730200000004</v>
      </c>
      <c r="AE340" s="6">
        <f>$K$340*$Y$340</f>
        <v>0</v>
      </c>
      <c r="AF340" s="6">
        <f ca="1">$M$340*$Z$340</f>
        <v>21379.510006094224</v>
      </c>
      <c r="AG340" s="6">
        <f>$O$340*$AA$340</f>
        <v>6866.1535096879334</v>
      </c>
    </row>
    <row r="341" spans="1:33" ht="11.25" customHeight="1" x14ac:dyDescent="0.3">
      <c r="A341" s="4" t="s">
        <v>28</v>
      </c>
      <c r="B341" s="4" t="s">
        <v>35</v>
      </c>
      <c r="C341" s="4" t="s">
        <v>23</v>
      </c>
      <c r="D341" s="4" t="s">
        <v>36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44501</v>
      </c>
      <c r="J341" s="6">
        <v>0</v>
      </c>
      <c r="K341" s="6">
        <v>0</v>
      </c>
      <c r="L341" s="6">
        <v>2.7549999999999999</v>
      </c>
      <c r="M341" s="6">
        <v>2.7549999999999999</v>
      </c>
      <c r="N341" s="6">
        <v>2.7549999999999999</v>
      </c>
      <c r="O341" s="6">
        <v>2.7549999999999999</v>
      </c>
      <c r="P341" s="6">
        <v>3</v>
      </c>
      <c r="Q341" s="4" t="s">
        <v>26</v>
      </c>
      <c r="R341" s="4">
        <v>0</v>
      </c>
      <c r="S341" s="6">
        <v>0</v>
      </c>
      <c r="T341" s="6">
        <v>67</v>
      </c>
      <c r="U341" s="6">
        <v>39</v>
      </c>
      <c r="V341" s="6">
        <f>IF(ISERROR(VLOOKUP($S$341,'TAR FIN'!$A$1:$O$85,15,0)),0,VLOOKUP($S$341,'TAR FIN'!$A$1:$O$85,15,0))</f>
        <v>0</v>
      </c>
      <c r="W341" s="6">
        <f>IF(ISERROR(VLOOKUP($T$341,'TAR FIN'!$A$1:$O$85,15,0)),0,VLOOKUP($T$341,'TAR FIN'!$A$1:$O$85,15,0))</f>
        <v>442.96</v>
      </c>
      <c r="X341" s="6">
        <f>IF(ISERROR(VLOOKUP($U$341,'TAR FIN'!$A$1:$O$85,15,0)),0,VLOOKUP($U$341,'TAR FIN'!$A$1:$O$85,15,0))</f>
        <v>185.74</v>
      </c>
      <c r="Y341" s="6"/>
      <c r="Z341" s="6">
        <f ca="1">('TUSD BE'!$AM$48+'TUSD BF'!$AM$48+'TUSD CVA'!$AM$48)*1</f>
        <v>519.26043781347539</v>
      </c>
      <c r="AA341" s="6">
        <f>('TE BE'!$AB$39+'TE BF'!$AB$39+'TE CVA'!$AB$39)*1</f>
        <v>166.7634981586946</v>
      </c>
      <c r="AB341" s="6">
        <f>$K$341*$V$341</f>
        <v>0</v>
      </c>
      <c r="AC341" s="6">
        <f>$M$341*$W$341</f>
        <v>1220.3547999999998</v>
      </c>
      <c r="AD341" s="6">
        <f>$O$341*$X$341</f>
        <v>511.71370000000002</v>
      </c>
      <c r="AE341" s="6">
        <f>$K$341*$Y$341</f>
        <v>0</v>
      </c>
      <c r="AF341" s="6">
        <f ca="1">$M$341*$Z$341</f>
        <v>1430.5625061761245</v>
      </c>
      <c r="AG341" s="6">
        <f>$O$341*$AA$341</f>
        <v>459.43343742720361</v>
      </c>
    </row>
    <row r="342" spans="1:33" ht="11.25" customHeight="1" x14ac:dyDescent="0.3">
      <c r="A342" s="4" t="s">
        <v>21</v>
      </c>
      <c r="B342" s="4" t="s">
        <v>35</v>
      </c>
      <c r="C342" s="4" t="s">
        <v>23</v>
      </c>
      <c r="D342" s="4" t="s">
        <v>36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44531</v>
      </c>
      <c r="J342" s="6">
        <v>0</v>
      </c>
      <c r="K342" s="6">
        <v>0</v>
      </c>
      <c r="L342" s="6">
        <v>37.765999999999998</v>
      </c>
      <c r="M342" s="6">
        <v>37.765999999999998</v>
      </c>
      <c r="N342" s="6">
        <v>37.765999999999998</v>
      </c>
      <c r="O342" s="6">
        <v>37.765999999999998</v>
      </c>
      <c r="P342" s="6">
        <v>47</v>
      </c>
      <c r="Q342" s="4" t="s">
        <v>26</v>
      </c>
      <c r="R342" s="4">
        <v>0</v>
      </c>
      <c r="S342" s="6">
        <v>0</v>
      </c>
      <c r="T342" s="6">
        <v>67</v>
      </c>
      <c r="U342" s="6">
        <v>39</v>
      </c>
      <c r="V342" s="6">
        <f>IF(ISERROR(VLOOKUP($S$342,'TAR FIN'!$A$1:$O$85,15,0)),0,VLOOKUP($S$342,'TAR FIN'!$A$1:$O$85,15,0))</f>
        <v>0</v>
      </c>
      <c r="W342" s="6">
        <f>IF(ISERROR(VLOOKUP($T$342,'TAR FIN'!$A$1:$O$85,15,0)),0,VLOOKUP($T$342,'TAR FIN'!$A$1:$O$85,15,0))</f>
        <v>442.96</v>
      </c>
      <c r="X342" s="6">
        <f>IF(ISERROR(VLOOKUP($U$342,'TAR FIN'!$A$1:$O$85,15,0)),0,VLOOKUP($U$342,'TAR FIN'!$A$1:$O$85,15,0))</f>
        <v>185.74</v>
      </c>
      <c r="Y342" s="6"/>
      <c r="Z342" s="6">
        <f ca="1">('TUSD BE'!$AM$48+'TUSD BF'!$AM$48+'TUSD CVA'!$AM$48)*1</f>
        <v>519.26043781347539</v>
      </c>
      <c r="AA342" s="6">
        <f>('TE BE'!$AB$39+'TE BF'!$AB$39+'TE CVA'!$AB$39)*1</f>
        <v>166.7634981586946</v>
      </c>
      <c r="AB342" s="6">
        <f>$K$342*$V$342</f>
        <v>0</v>
      </c>
      <c r="AC342" s="6">
        <f>$M$342*$W$342</f>
        <v>16728.827359999999</v>
      </c>
      <c r="AD342" s="6">
        <f>$O$342*$X$342</f>
        <v>7014.6568399999996</v>
      </c>
      <c r="AE342" s="6">
        <f>$K$342*$Y$342</f>
        <v>0</v>
      </c>
      <c r="AF342" s="6">
        <f ca="1">$M$342*$Z$342</f>
        <v>19610.389694463709</v>
      </c>
      <c r="AG342" s="6">
        <f>$O$342*$AA$342</f>
        <v>6297.9902714612599</v>
      </c>
    </row>
    <row r="343" spans="1:33" ht="11.25" customHeight="1" x14ac:dyDescent="0.3">
      <c r="A343" s="4" t="s">
        <v>28</v>
      </c>
      <c r="B343" s="4" t="s">
        <v>35</v>
      </c>
      <c r="C343" s="4" t="s">
        <v>23</v>
      </c>
      <c r="D343" s="4" t="s">
        <v>36</v>
      </c>
      <c r="E343" s="4" t="s">
        <v>25</v>
      </c>
      <c r="F343" s="4" t="s">
        <v>25</v>
      </c>
      <c r="G343" s="4" t="s">
        <v>25</v>
      </c>
      <c r="H343" s="4" t="s">
        <v>25</v>
      </c>
      <c r="I343" s="5">
        <v>44531</v>
      </c>
      <c r="J343" s="6">
        <v>0</v>
      </c>
      <c r="K343" s="6">
        <v>0</v>
      </c>
      <c r="L343" s="6">
        <v>0.63300000000000001</v>
      </c>
      <c r="M343" s="6">
        <v>0.63300000000000001</v>
      </c>
      <c r="N343" s="6">
        <v>0.63300000000000001</v>
      </c>
      <c r="O343" s="6">
        <v>0.63300000000000001</v>
      </c>
      <c r="P343" s="6">
        <v>3</v>
      </c>
      <c r="Q343" s="4" t="s">
        <v>26</v>
      </c>
      <c r="R343" s="4">
        <v>0</v>
      </c>
      <c r="S343" s="6">
        <v>0</v>
      </c>
      <c r="T343" s="6">
        <v>67</v>
      </c>
      <c r="U343" s="6">
        <v>39</v>
      </c>
      <c r="V343" s="6">
        <f>IF(ISERROR(VLOOKUP($S$343,'TAR FIN'!$A$1:$O$85,15,0)),0,VLOOKUP($S$343,'TAR FIN'!$A$1:$O$85,15,0))</f>
        <v>0</v>
      </c>
      <c r="W343" s="6">
        <f>IF(ISERROR(VLOOKUP($T$343,'TAR FIN'!$A$1:$O$85,15,0)),0,VLOOKUP($T$343,'TAR FIN'!$A$1:$O$85,15,0))</f>
        <v>442.96</v>
      </c>
      <c r="X343" s="6">
        <f>IF(ISERROR(VLOOKUP($U$343,'TAR FIN'!$A$1:$O$85,15,0)),0,VLOOKUP($U$343,'TAR FIN'!$A$1:$O$85,15,0))</f>
        <v>185.74</v>
      </c>
      <c r="Y343" s="6"/>
      <c r="Z343" s="6">
        <f ca="1">('TUSD BE'!$AM$48+'TUSD BF'!$AM$48+'TUSD CVA'!$AM$48)*1</f>
        <v>519.26043781347539</v>
      </c>
      <c r="AA343" s="6">
        <f>('TE BE'!$AB$39+'TE BF'!$AB$39+'TE CVA'!$AB$39)*1</f>
        <v>166.7634981586946</v>
      </c>
      <c r="AB343" s="6">
        <f>$K$343*$V$343</f>
        <v>0</v>
      </c>
      <c r="AC343" s="6">
        <f>$M$343*$W$343</f>
        <v>280.39368000000002</v>
      </c>
      <c r="AD343" s="6">
        <f>$O$343*$X$343</f>
        <v>117.57342000000001</v>
      </c>
      <c r="AE343" s="6">
        <f>$K$343*$Y$343</f>
        <v>0</v>
      </c>
      <c r="AF343" s="6">
        <f ca="1">$M$343*$Z$343</f>
        <v>328.69185713592992</v>
      </c>
      <c r="AG343" s="6">
        <f>$O$343*$AA$343</f>
        <v>105.56129433445369</v>
      </c>
    </row>
    <row r="344" spans="1:33" ht="11.25" customHeight="1" x14ac:dyDescent="0.3">
      <c r="A344" s="4" t="s">
        <v>21</v>
      </c>
      <c r="B344" s="4" t="s">
        <v>35</v>
      </c>
      <c r="C344" s="4" t="s">
        <v>23</v>
      </c>
      <c r="D344" s="4" t="s">
        <v>36</v>
      </c>
      <c r="E344" s="4" t="s">
        <v>25</v>
      </c>
      <c r="F344" s="4" t="s">
        <v>25</v>
      </c>
      <c r="G344" s="4" t="s">
        <v>25</v>
      </c>
      <c r="H344" s="4" t="s">
        <v>25</v>
      </c>
      <c r="I344" s="5">
        <v>44562</v>
      </c>
      <c r="J344" s="6">
        <v>0</v>
      </c>
      <c r="K344" s="6">
        <v>0</v>
      </c>
      <c r="L344" s="6">
        <v>37.445999999999998</v>
      </c>
      <c r="M344" s="6">
        <v>37.445999999999998</v>
      </c>
      <c r="N344" s="6">
        <v>37.445999999999998</v>
      </c>
      <c r="O344" s="6">
        <v>37.445999999999998</v>
      </c>
      <c r="P344" s="6">
        <v>47</v>
      </c>
      <c r="Q344" s="4" t="s">
        <v>26</v>
      </c>
      <c r="R344" s="4">
        <v>0</v>
      </c>
      <c r="S344" s="6">
        <v>0</v>
      </c>
      <c r="T344" s="6">
        <v>67</v>
      </c>
      <c r="U344" s="6">
        <v>39</v>
      </c>
      <c r="V344" s="6">
        <f>IF(ISERROR(VLOOKUP($S$344,'TAR FIN'!$A$1:$O$85,15,0)),0,VLOOKUP($S$344,'TAR FIN'!$A$1:$O$85,15,0))</f>
        <v>0</v>
      </c>
      <c r="W344" s="6">
        <f>IF(ISERROR(VLOOKUP($T$344,'TAR FIN'!$A$1:$O$85,15,0)),0,VLOOKUP($T$344,'TAR FIN'!$A$1:$O$85,15,0))</f>
        <v>442.96</v>
      </c>
      <c r="X344" s="6">
        <f>IF(ISERROR(VLOOKUP($U$344,'TAR FIN'!$A$1:$O$85,15,0)),0,VLOOKUP($U$344,'TAR FIN'!$A$1:$O$85,15,0))</f>
        <v>185.74</v>
      </c>
      <c r="Y344" s="6"/>
      <c r="Z344" s="6">
        <f ca="1">('TUSD BE'!$AM$48+'TUSD BF'!$AM$48+'TUSD CVA'!$AM$48)*1</f>
        <v>519.26043781347539</v>
      </c>
      <c r="AA344" s="6">
        <f>('TE BE'!$AB$39+'TE BF'!$AB$39+'TE CVA'!$AB$39)*1</f>
        <v>166.7634981586946</v>
      </c>
      <c r="AB344" s="6">
        <f>$K$344*$V$344</f>
        <v>0</v>
      </c>
      <c r="AC344" s="6">
        <f>$M$344*$W$344</f>
        <v>16587.080159999998</v>
      </c>
      <c r="AD344" s="6">
        <f>$O$344*$X$344</f>
        <v>6955.2200400000002</v>
      </c>
      <c r="AE344" s="6">
        <f>$K$344*$Y$344</f>
        <v>0</v>
      </c>
      <c r="AF344" s="6">
        <f ca="1">$M$344*$Z$344</f>
        <v>19444.2263543634</v>
      </c>
      <c r="AG344" s="6">
        <f>$O$344*$AA$344</f>
        <v>6244.6259520504782</v>
      </c>
    </row>
    <row r="345" spans="1:33" ht="11.25" customHeight="1" x14ac:dyDescent="0.3">
      <c r="A345" s="4" t="s">
        <v>28</v>
      </c>
      <c r="B345" s="4" t="s">
        <v>35</v>
      </c>
      <c r="C345" s="4" t="s">
        <v>23</v>
      </c>
      <c r="D345" s="4" t="s">
        <v>36</v>
      </c>
      <c r="E345" s="4" t="s">
        <v>25</v>
      </c>
      <c r="F345" s="4" t="s">
        <v>25</v>
      </c>
      <c r="G345" s="4" t="s">
        <v>25</v>
      </c>
      <c r="H345" s="4" t="s">
        <v>25</v>
      </c>
      <c r="I345" s="5">
        <v>44562</v>
      </c>
      <c r="J345" s="6">
        <v>0</v>
      </c>
      <c r="K345" s="6">
        <v>0</v>
      </c>
      <c r="L345" s="6">
        <v>0.3</v>
      </c>
      <c r="M345" s="6">
        <v>0.3</v>
      </c>
      <c r="N345" s="6">
        <v>0.3</v>
      </c>
      <c r="O345" s="6">
        <v>0.3</v>
      </c>
      <c r="P345" s="6">
        <v>3</v>
      </c>
      <c r="Q345" s="4" t="s">
        <v>26</v>
      </c>
      <c r="R345" s="4">
        <v>0</v>
      </c>
      <c r="S345" s="6">
        <v>0</v>
      </c>
      <c r="T345" s="6">
        <v>67</v>
      </c>
      <c r="U345" s="6">
        <v>39</v>
      </c>
      <c r="V345" s="6">
        <f>IF(ISERROR(VLOOKUP($S$345,'TAR FIN'!$A$1:$O$85,15,0)),0,VLOOKUP($S$345,'TAR FIN'!$A$1:$O$85,15,0))</f>
        <v>0</v>
      </c>
      <c r="W345" s="6">
        <f>IF(ISERROR(VLOOKUP($T$345,'TAR FIN'!$A$1:$O$85,15,0)),0,VLOOKUP($T$345,'TAR FIN'!$A$1:$O$85,15,0))</f>
        <v>442.96</v>
      </c>
      <c r="X345" s="6">
        <f>IF(ISERROR(VLOOKUP($U$345,'TAR FIN'!$A$1:$O$85,15,0)),0,VLOOKUP($U$345,'TAR FIN'!$A$1:$O$85,15,0))</f>
        <v>185.74</v>
      </c>
      <c r="Y345" s="6"/>
      <c r="Z345" s="6">
        <f ca="1">('TUSD BE'!$AM$48+'TUSD BF'!$AM$48+'TUSD CVA'!$AM$48)*1</f>
        <v>519.26043781347539</v>
      </c>
      <c r="AA345" s="6">
        <f>('TE BE'!$AB$39+'TE BF'!$AB$39+'TE CVA'!$AB$39)*1</f>
        <v>166.7634981586946</v>
      </c>
      <c r="AB345" s="6">
        <f>$K$345*$V$345</f>
        <v>0</v>
      </c>
      <c r="AC345" s="6">
        <f>$M$345*$W$345</f>
        <v>132.88799999999998</v>
      </c>
      <c r="AD345" s="6">
        <f>$O$345*$X$345</f>
        <v>55.722000000000001</v>
      </c>
      <c r="AE345" s="6">
        <f>$K$345*$Y$345</f>
        <v>0</v>
      </c>
      <c r="AF345" s="6">
        <f ca="1">$M$345*$Z$345</f>
        <v>155.77813134404261</v>
      </c>
      <c r="AG345" s="6">
        <f>$O$345*$AA$345</f>
        <v>50.029049447608379</v>
      </c>
    </row>
    <row r="346" spans="1:33" ht="11.25" customHeight="1" x14ac:dyDescent="0.3">
      <c r="A346" s="4" t="s">
        <v>21</v>
      </c>
      <c r="B346" s="4" t="s">
        <v>35</v>
      </c>
      <c r="C346" s="4" t="s">
        <v>23</v>
      </c>
      <c r="D346" s="4" t="s">
        <v>36</v>
      </c>
      <c r="E346" s="4" t="s">
        <v>25</v>
      </c>
      <c r="F346" s="4" t="s">
        <v>25</v>
      </c>
      <c r="G346" s="4" t="s">
        <v>25</v>
      </c>
      <c r="H346" s="4" t="s">
        <v>25</v>
      </c>
      <c r="I346" s="5">
        <v>44593</v>
      </c>
      <c r="J346" s="6">
        <v>0</v>
      </c>
      <c r="K346" s="6">
        <v>0</v>
      </c>
      <c r="L346" s="6">
        <v>38.561999999999998</v>
      </c>
      <c r="M346" s="6">
        <v>38.561999999999998</v>
      </c>
      <c r="N346" s="6">
        <v>38.561999999999998</v>
      </c>
      <c r="O346" s="6">
        <v>38.561999999999998</v>
      </c>
      <c r="P346" s="6">
        <v>46</v>
      </c>
      <c r="Q346" s="4" t="s">
        <v>26</v>
      </c>
      <c r="R346" s="4">
        <v>0</v>
      </c>
      <c r="S346" s="6">
        <v>0</v>
      </c>
      <c r="T346" s="6">
        <v>67</v>
      </c>
      <c r="U346" s="6">
        <v>39</v>
      </c>
      <c r="V346" s="6">
        <f>IF(ISERROR(VLOOKUP($S$346,'TAR FIN'!$A$1:$O$85,15,0)),0,VLOOKUP($S$346,'TAR FIN'!$A$1:$O$85,15,0))</f>
        <v>0</v>
      </c>
      <c r="W346" s="6">
        <f>IF(ISERROR(VLOOKUP($T$346,'TAR FIN'!$A$1:$O$85,15,0)),0,VLOOKUP($T$346,'TAR FIN'!$A$1:$O$85,15,0))</f>
        <v>442.96</v>
      </c>
      <c r="X346" s="6">
        <f>IF(ISERROR(VLOOKUP($U$346,'TAR FIN'!$A$1:$O$85,15,0)),0,VLOOKUP($U$346,'TAR FIN'!$A$1:$O$85,15,0))</f>
        <v>185.74</v>
      </c>
      <c r="Y346" s="6"/>
      <c r="Z346" s="6">
        <f ca="1">('TUSD BE'!$AM$48+'TUSD BF'!$AM$48+'TUSD CVA'!$AM$48)*1</f>
        <v>519.26043781347539</v>
      </c>
      <c r="AA346" s="6">
        <f>('TE BE'!$AB$39+'TE BF'!$AB$39+'TE CVA'!$AB$39)*1</f>
        <v>166.7634981586946</v>
      </c>
      <c r="AB346" s="6">
        <f>$K$346*$V$346</f>
        <v>0</v>
      </c>
      <c r="AC346" s="6">
        <f>$M$346*$W$346</f>
        <v>17081.423519999997</v>
      </c>
      <c r="AD346" s="6">
        <f>$O$346*$X$346</f>
        <v>7162.5058799999997</v>
      </c>
      <c r="AE346" s="6">
        <f>$K$346*$Y$346</f>
        <v>0</v>
      </c>
      <c r="AF346" s="6">
        <f ca="1">$M$346*$Z$346</f>
        <v>20023.721002963237</v>
      </c>
      <c r="AG346" s="6">
        <f>$O$346*$AA$346</f>
        <v>6430.7340159955811</v>
      </c>
    </row>
    <row r="347" spans="1:33" ht="11.25" customHeight="1" x14ac:dyDescent="0.3">
      <c r="A347" s="4" t="s">
        <v>28</v>
      </c>
      <c r="B347" s="4" t="s">
        <v>35</v>
      </c>
      <c r="C347" s="4" t="s">
        <v>23</v>
      </c>
      <c r="D347" s="4" t="s">
        <v>36</v>
      </c>
      <c r="E347" s="4" t="s">
        <v>25</v>
      </c>
      <c r="F347" s="4" t="s">
        <v>25</v>
      </c>
      <c r="G347" s="4" t="s">
        <v>25</v>
      </c>
      <c r="H347" s="4" t="s">
        <v>25</v>
      </c>
      <c r="I347" s="5">
        <v>44593</v>
      </c>
      <c r="J347" s="6">
        <v>0</v>
      </c>
      <c r="K347" s="6">
        <v>0</v>
      </c>
      <c r="L347" s="6">
        <v>0.3</v>
      </c>
      <c r="M347" s="6">
        <v>0.3</v>
      </c>
      <c r="N347" s="6">
        <v>0.3</v>
      </c>
      <c r="O347" s="6">
        <v>0.3</v>
      </c>
      <c r="P347" s="6">
        <v>3</v>
      </c>
      <c r="Q347" s="4" t="s">
        <v>26</v>
      </c>
      <c r="R347" s="4">
        <v>0</v>
      </c>
      <c r="S347" s="6">
        <v>0</v>
      </c>
      <c r="T347" s="6">
        <v>67</v>
      </c>
      <c r="U347" s="6">
        <v>39</v>
      </c>
      <c r="V347" s="6">
        <f>IF(ISERROR(VLOOKUP($S$347,'TAR FIN'!$A$1:$O$85,15,0)),0,VLOOKUP($S$347,'TAR FIN'!$A$1:$O$85,15,0))</f>
        <v>0</v>
      </c>
      <c r="W347" s="6">
        <f>IF(ISERROR(VLOOKUP($T$347,'TAR FIN'!$A$1:$O$85,15,0)),0,VLOOKUP($T$347,'TAR FIN'!$A$1:$O$85,15,0))</f>
        <v>442.96</v>
      </c>
      <c r="X347" s="6">
        <f>IF(ISERROR(VLOOKUP($U$347,'TAR FIN'!$A$1:$O$85,15,0)),0,VLOOKUP($U$347,'TAR FIN'!$A$1:$O$85,15,0))</f>
        <v>185.74</v>
      </c>
      <c r="Y347" s="6"/>
      <c r="Z347" s="6">
        <f ca="1">('TUSD BE'!$AM$48+'TUSD BF'!$AM$48+'TUSD CVA'!$AM$48)*1</f>
        <v>519.26043781347539</v>
      </c>
      <c r="AA347" s="6">
        <f>('TE BE'!$AB$39+'TE BF'!$AB$39+'TE CVA'!$AB$39)*1</f>
        <v>166.7634981586946</v>
      </c>
      <c r="AB347" s="6">
        <f>$K$347*$V$347</f>
        <v>0</v>
      </c>
      <c r="AC347" s="6">
        <f>$M$347*$W$347</f>
        <v>132.88799999999998</v>
      </c>
      <c r="AD347" s="6">
        <f>$O$347*$X$347</f>
        <v>55.722000000000001</v>
      </c>
      <c r="AE347" s="6">
        <f>$K$347*$Y$347</f>
        <v>0</v>
      </c>
      <c r="AF347" s="6">
        <f ca="1">$M$347*$Z$347</f>
        <v>155.77813134404261</v>
      </c>
      <c r="AG347" s="6">
        <f>$O$347*$AA$347</f>
        <v>50.029049447608379</v>
      </c>
    </row>
    <row r="348" spans="1:33" ht="11.25" customHeight="1" x14ac:dyDescent="0.3">
      <c r="A348" s="4" t="s">
        <v>21</v>
      </c>
      <c r="B348" s="4" t="s">
        <v>35</v>
      </c>
      <c r="C348" s="4" t="s">
        <v>23</v>
      </c>
      <c r="D348" s="4" t="s">
        <v>36</v>
      </c>
      <c r="E348" s="4" t="s">
        <v>25</v>
      </c>
      <c r="F348" s="4" t="s">
        <v>25</v>
      </c>
      <c r="G348" s="4" t="s">
        <v>25</v>
      </c>
      <c r="H348" s="4" t="s">
        <v>25</v>
      </c>
      <c r="I348" s="5">
        <v>44621</v>
      </c>
      <c r="J348" s="6">
        <v>0</v>
      </c>
      <c r="K348" s="6">
        <v>0</v>
      </c>
      <c r="L348" s="6">
        <v>38.768999999999998</v>
      </c>
      <c r="M348" s="6">
        <v>38.768999999999998</v>
      </c>
      <c r="N348" s="6">
        <v>38.768999999999998</v>
      </c>
      <c r="O348" s="6">
        <v>38.768999999999998</v>
      </c>
      <c r="P348" s="6">
        <v>44</v>
      </c>
      <c r="Q348" s="4" t="s">
        <v>26</v>
      </c>
      <c r="R348" s="4">
        <v>0</v>
      </c>
      <c r="S348" s="6">
        <v>0</v>
      </c>
      <c r="T348" s="6">
        <v>67</v>
      </c>
      <c r="U348" s="6">
        <v>39</v>
      </c>
      <c r="V348" s="6">
        <f>IF(ISERROR(VLOOKUP($S$348,'TAR FIN'!$A$1:$O$85,15,0)),0,VLOOKUP($S$348,'TAR FIN'!$A$1:$O$85,15,0))</f>
        <v>0</v>
      </c>
      <c r="W348" s="6">
        <f>IF(ISERROR(VLOOKUP($T$348,'TAR FIN'!$A$1:$O$85,15,0)),0,VLOOKUP($T$348,'TAR FIN'!$A$1:$O$85,15,0))</f>
        <v>442.96</v>
      </c>
      <c r="X348" s="6">
        <f>IF(ISERROR(VLOOKUP($U$348,'TAR FIN'!$A$1:$O$85,15,0)),0,VLOOKUP($U$348,'TAR FIN'!$A$1:$O$85,15,0))</f>
        <v>185.74</v>
      </c>
      <c r="Y348" s="6"/>
      <c r="Z348" s="6">
        <f ca="1">('TUSD BE'!$AM$48+'TUSD BF'!$AM$48+'TUSD CVA'!$AM$48)*1</f>
        <v>519.26043781347539</v>
      </c>
      <c r="AA348" s="6">
        <f>('TE BE'!$AB$39+'TE BF'!$AB$39+'TE CVA'!$AB$39)*1</f>
        <v>166.7634981586946</v>
      </c>
      <c r="AB348" s="6">
        <f>$K$348*$V$348</f>
        <v>0</v>
      </c>
      <c r="AC348" s="6">
        <f>$M$348*$W$348</f>
        <v>17173.116239999999</v>
      </c>
      <c r="AD348" s="6">
        <f>$O$348*$X$348</f>
        <v>7200.95406</v>
      </c>
      <c r="AE348" s="6">
        <f>$K$348*$Y$348</f>
        <v>0</v>
      </c>
      <c r="AF348" s="6">
        <f ca="1">$M$348*$Z$348</f>
        <v>20131.207913590628</v>
      </c>
      <c r="AG348" s="6">
        <f>$O$348*$AA$348</f>
        <v>6465.254060114431</v>
      </c>
    </row>
    <row r="349" spans="1:33" ht="11.25" customHeight="1" x14ac:dyDescent="0.3">
      <c r="A349" s="4" t="s">
        <v>28</v>
      </c>
      <c r="B349" s="4" t="s">
        <v>35</v>
      </c>
      <c r="C349" s="4" t="s">
        <v>23</v>
      </c>
      <c r="D349" s="4" t="s">
        <v>36</v>
      </c>
      <c r="E349" s="4" t="s">
        <v>25</v>
      </c>
      <c r="F349" s="4" t="s">
        <v>25</v>
      </c>
      <c r="G349" s="4" t="s">
        <v>25</v>
      </c>
      <c r="H349" s="4" t="s">
        <v>25</v>
      </c>
      <c r="I349" s="5">
        <v>44621</v>
      </c>
      <c r="J349" s="6">
        <v>0</v>
      </c>
      <c r="K349" s="6">
        <v>0</v>
      </c>
      <c r="L349" s="6">
        <v>0.3</v>
      </c>
      <c r="M349" s="6">
        <v>0.3</v>
      </c>
      <c r="N349" s="6">
        <v>0.3</v>
      </c>
      <c r="O349" s="6">
        <v>0.3</v>
      </c>
      <c r="P349" s="6">
        <v>3</v>
      </c>
      <c r="Q349" s="4" t="s">
        <v>26</v>
      </c>
      <c r="R349" s="4">
        <v>0</v>
      </c>
      <c r="S349" s="6">
        <v>0</v>
      </c>
      <c r="T349" s="6">
        <v>67</v>
      </c>
      <c r="U349" s="6">
        <v>39</v>
      </c>
      <c r="V349" s="6">
        <f>IF(ISERROR(VLOOKUP($S$349,'TAR FIN'!$A$1:$O$85,15,0)),0,VLOOKUP($S$349,'TAR FIN'!$A$1:$O$85,15,0))</f>
        <v>0</v>
      </c>
      <c r="W349" s="6">
        <f>IF(ISERROR(VLOOKUP($T$349,'TAR FIN'!$A$1:$O$85,15,0)),0,VLOOKUP($T$349,'TAR FIN'!$A$1:$O$85,15,0))</f>
        <v>442.96</v>
      </c>
      <c r="X349" s="6">
        <f>IF(ISERROR(VLOOKUP($U$349,'TAR FIN'!$A$1:$O$85,15,0)),0,VLOOKUP($U$349,'TAR FIN'!$A$1:$O$85,15,0))</f>
        <v>185.74</v>
      </c>
      <c r="Y349" s="6"/>
      <c r="Z349" s="6">
        <f ca="1">('TUSD BE'!$AM$48+'TUSD BF'!$AM$48+'TUSD CVA'!$AM$48)*1</f>
        <v>519.26043781347539</v>
      </c>
      <c r="AA349" s="6">
        <f>('TE BE'!$AB$39+'TE BF'!$AB$39+'TE CVA'!$AB$39)*1</f>
        <v>166.7634981586946</v>
      </c>
      <c r="AB349" s="6">
        <f>$K$349*$V$349</f>
        <v>0</v>
      </c>
      <c r="AC349" s="6">
        <f>$M$349*$W$349</f>
        <v>132.88799999999998</v>
      </c>
      <c r="AD349" s="6">
        <f>$O$349*$X$349</f>
        <v>55.722000000000001</v>
      </c>
      <c r="AE349" s="6">
        <f>$K$349*$Y$349</f>
        <v>0</v>
      </c>
      <c r="AF349" s="6">
        <f ca="1">$M$349*$Z$349</f>
        <v>155.77813134404261</v>
      </c>
      <c r="AG349" s="6">
        <f>$O$349*$AA$349</f>
        <v>50.029049447608379</v>
      </c>
    </row>
    <row r="350" spans="1:33" ht="11.25" customHeight="1" x14ac:dyDescent="0.3">
      <c r="A350" s="4" t="s">
        <v>21</v>
      </c>
      <c r="B350" s="4" t="s">
        <v>35</v>
      </c>
      <c r="C350" s="4" t="s">
        <v>23</v>
      </c>
      <c r="D350" s="4" t="s">
        <v>36</v>
      </c>
      <c r="E350" s="4" t="s">
        <v>25</v>
      </c>
      <c r="F350" s="4" t="s">
        <v>25</v>
      </c>
      <c r="G350" s="4" t="s">
        <v>25</v>
      </c>
      <c r="H350" s="4" t="s">
        <v>25</v>
      </c>
      <c r="I350" s="5">
        <v>44652</v>
      </c>
      <c r="J350" s="6">
        <v>0</v>
      </c>
      <c r="K350" s="6">
        <v>0</v>
      </c>
      <c r="L350" s="6">
        <v>36.091000000000001</v>
      </c>
      <c r="M350" s="6">
        <v>36.091000000000001</v>
      </c>
      <c r="N350" s="6">
        <v>36.091000000000001</v>
      </c>
      <c r="O350" s="6">
        <v>36.091000000000001</v>
      </c>
      <c r="P350" s="6">
        <v>42</v>
      </c>
      <c r="Q350" s="4" t="s">
        <v>26</v>
      </c>
      <c r="R350" s="4">
        <v>0</v>
      </c>
      <c r="S350" s="6">
        <v>0</v>
      </c>
      <c r="T350" s="6">
        <v>67</v>
      </c>
      <c r="U350" s="6">
        <v>39</v>
      </c>
      <c r="V350" s="6">
        <f>IF(ISERROR(VLOOKUP($S$350,'TAR FIN'!$A$1:$O$85,15,0)),0,VLOOKUP($S$350,'TAR FIN'!$A$1:$O$85,15,0))</f>
        <v>0</v>
      </c>
      <c r="W350" s="6">
        <f>IF(ISERROR(VLOOKUP($T$350,'TAR FIN'!$A$1:$O$85,15,0)),0,VLOOKUP($T$350,'TAR FIN'!$A$1:$O$85,15,0))</f>
        <v>442.96</v>
      </c>
      <c r="X350" s="6">
        <f>IF(ISERROR(VLOOKUP($U$350,'TAR FIN'!$A$1:$O$85,15,0)),0,VLOOKUP($U$350,'TAR FIN'!$A$1:$O$85,15,0))</f>
        <v>185.74</v>
      </c>
      <c r="Y350" s="6"/>
      <c r="Z350" s="6">
        <f ca="1">('TUSD BE'!$AM$48+'TUSD BF'!$AM$48+'TUSD CVA'!$AM$48)*1</f>
        <v>519.26043781347539</v>
      </c>
      <c r="AA350" s="6">
        <f>('TE BE'!$AB$39+'TE BF'!$AB$39+'TE CVA'!$AB$39)*1</f>
        <v>166.7634981586946</v>
      </c>
      <c r="AB350" s="6">
        <f>$K$350*$V$350</f>
        <v>0</v>
      </c>
      <c r="AC350" s="6">
        <f>$M$350*$W$350</f>
        <v>15986.869360000001</v>
      </c>
      <c r="AD350" s="6">
        <f>$O$350*$X$350</f>
        <v>6703.5423400000009</v>
      </c>
      <c r="AE350" s="6">
        <f>$K$350*$Y$350</f>
        <v>0</v>
      </c>
      <c r="AF350" s="6">
        <f ca="1">$M$350*$Z$350</f>
        <v>18740.62846112614</v>
      </c>
      <c r="AG350" s="6">
        <f>$O$350*$AA$350</f>
        <v>6018.6614120454469</v>
      </c>
    </row>
    <row r="351" spans="1:33" ht="11.25" customHeight="1" x14ac:dyDescent="0.3">
      <c r="A351" s="4" t="s">
        <v>28</v>
      </c>
      <c r="B351" s="4" t="s">
        <v>35</v>
      </c>
      <c r="C351" s="4" t="s">
        <v>23</v>
      </c>
      <c r="D351" s="4" t="s">
        <v>36</v>
      </c>
      <c r="E351" s="4" t="s">
        <v>25</v>
      </c>
      <c r="F351" s="4" t="s">
        <v>25</v>
      </c>
      <c r="G351" s="4" t="s">
        <v>25</v>
      </c>
      <c r="H351" s="4" t="s">
        <v>25</v>
      </c>
      <c r="I351" s="5">
        <v>44652</v>
      </c>
      <c r="J351" s="6">
        <v>0</v>
      </c>
      <c r="K351" s="6">
        <v>0</v>
      </c>
      <c r="L351" s="6">
        <v>2.2410000000000001</v>
      </c>
      <c r="M351" s="6">
        <v>2.2410000000000001</v>
      </c>
      <c r="N351" s="6">
        <v>2.2410000000000001</v>
      </c>
      <c r="O351" s="6">
        <v>2.2410000000000001</v>
      </c>
      <c r="P351" s="6">
        <v>3</v>
      </c>
      <c r="Q351" s="4" t="s">
        <v>26</v>
      </c>
      <c r="R351" s="4">
        <v>0</v>
      </c>
      <c r="S351" s="6">
        <v>0</v>
      </c>
      <c r="T351" s="6">
        <v>67</v>
      </c>
      <c r="U351" s="6">
        <v>39</v>
      </c>
      <c r="V351" s="6">
        <f>IF(ISERROR(VLOOKUP($S$351,'TAR FIN'!$A$1:$O$85,15,0)),0,VLOOKUP($S$351,'TAR FIN'!$A$1:$O$85,15,0))</f>
        <v>0</v>
      </c>
      <c r="W351" s="6">
        <f>IF(ISERROR(VLOOKUP($T$351,'TAR FIN'!$A$1:$O$85,15,0)),0,VLOOKUP($T$351,'TAR FIN'!$A$1:$O$85,15,0))</f>
        <v>442.96</v>
      </c>
      <c r="X351" s="6">
        <f>IF(ISERROR(VLOOKUP($U$351,'TAR FIN'!$A$1:$O$85,15,0)),0,VLOOKUP($U$351,'TAR FIN'!$A$1:$O$85,15,0))</f>
        <v>185.74</v>
      </c>
      <c r="Y351" s="6"/>
      <c r="Z351" s="6">
        <f ca="1">('TUSD BE'!$AM$48+'TUSD BF'!$AM$48+'TUSD CVA'!$AM$48)*1</f>
        <v>519.26043781347539</v>
      </c>
      <c r="AA351" s="6">
        <f>('TE BE'!$AB$39+'TE BF'!$AB$39+'TE CVA'!$AB$39)*1</f>
        <v>166.7634981586946</v>
      </c>
      <c r="AB351" s="6">
        <f>$K$351*$V$351</f>
        <v>0</v>
      </c>
      <c r="AC351" s="6">
        <f>$M$351*$W$351</f>
        <v>992.67336</v>
      </c>
      <c r="AD351" s="6">
        <f>$O$351*$X$351</f>
        <v>416.24334000000005</v>
      </c>
      <c r="AE351" s="6">
        <f>$K$351*$Y$351</f>
        <v>0</v>
      </c>
      <c r="AF351" s="6">
        <f ca="1">$M$351*$Z$351</f>
        <v>1163.6626411399984</v>
      </c>
      <c r="AG351" s="6">
        <f>$O$351*$AA$351</f>
        <v>373.71699937363462</v>
      </c>
    </row>
    <row r="352" spans="1:33" ht="11.25" customHeight="1" x14ac:dyDescent="0.3">
      <c r="A352" s="4" t="s">
        <v>21</v>
      </c>
      <c r="B352" s="4" t="s">
        <v>35</v>
      </c>
      <c r="C352" s="4" t="s">
        <v>23</v>
      </c>
      <c r="D352" s="4" t="s">
        <v>36</v>
      </c>
      <c r="E352" s="4" t="s">
        <v>25</v>
      </c>
      <c r="F352" s="4" t="s">
        <v>25</v>
      </c>
      <c r="G352" s="4" t="s">
        <v>25</v>
      </c>
      <c r="H352" s="4" t="s">
        <v>25</v>
      </c>
      <c r="I352" s="5">
        <v>44682</v>
      </c>
      <c r="J352" s="6">
        <v>0</v>
      </c>
      <c r="K352" s="6">
        <v>0</v>
      </c>
      <c r="L352" s="6">
        <v>36.68</v>
      </c>
      <c r="M352" s="6">
        <v>36.68</v>
      </c>
      <c r="N352" s="6">
        <v>36.68</v>
      </c>
      <c r="O352" s="6">
        <v>36.68</v>
      </c>
      <c r="P352" s="6">
        <v>42</v>
      </c>
      <c r="Q352" s="4" t="s">
        <v>26</v>
      </c>
      <c r="R352" s="4">
        <v>0</v>
      </c>
      <c r="S352" s="6">
        <v>0</v>
      </c>
      <c r="T352" s="6">
        <v>67</v>
      </c>
      <c r="U352" s="6">
        <v>39</v>
      </c>
      <c r="V352" s="6">
        <f>IF(ISERROR(VLOOKUP($S$352,'TAR FIN'!$A$1:$O$85,15,0)),0,VLOOKUP($S$352,'TAR FIN'!$A$1:$O$85,15,0))</f>
        <v>0</v>
      </c>
      <c r="W352" s="6">
        <f>IF(ISERROR(VLOOKUP($T$352,'TAR FIN'!$A$1:$O$85,15,0)),0,VLOOKUP($T$352,'TAR FIN'!$A$1:$O$85,15,0))</f>
        <v>442.96</v>
      </c>
      <c r="X352" s="6">
        <f>IF(ISERROR(VLOOKUP($U$352,'TAR FIN'!$A$1:$O$85,15,0)),0,VLOOKUP($U$352,'TAR FIN'!$A$1:$O$85,15,0))</f>
        <v>185.74</v>
      </c>
      <c r="Y352" s="6"/>
      <c r="Z352" s="6">
        <f ca="1">('TUSD BE'!$AM$48+'TUSD BF'!$AM$48+'TUSD CVA'!$AM$48)*1</f>
        <v>519.26043781347539</v>
      </c>
      <c r="AA352" s="6">
        <f>('TE BE'!$AB$39+'TE BF'!$AB$39+'TE CVA'!$AB$39)*1</f>
        <v>166.7634981586946</v>
      </c>
      <c r="AB352" s="6">
        <f>$K$352*$V$352</f>
        <v>0</v>
      </c>
      <c r="AC352" s="6">
        <f>$M$352*$W$352</f>
        <v>16247.772799999999</v>
      </c>
      <c r="AD352" s="6">
        <f>$O$352*$X$352</f>
        <v>6812.9432000000006</v>
      </c>
      <c r="AE352" s="6">
        <f>$K$352*$Y$352</f>
        <v>0</v>
      </c>
      <c r="AF352" s="6">
        <f ca="1">$M$352*$Z$352</f>
        <v>19046.472858998277</v>
      </c>
      <c r="AG352" s="6">
        <f>$O$352*$AA$352</f>
        <v>6116.8851124609182</v>
      </c>
    </row>
    <row r="353" spans="1:33" ht="11.25" customHeight="1" x14ac:dyDescent="0.3">
      <c r="A353" s="4" t="s">
        <v>28</v>
      </c>
      <c r="B353" s="4" t="s">
        <v>35</v>
      </c>
      <c r="C353" s="4" t="s">
        <v>23</v>
      </c>
      <c r="D353" s="4" t="s">
        <v>36</v>
      </c>
      <c r="E353" s="4" t="s">
        <v>25</v>
      </c>
      <c r="F353" s="4" t="s">
        <v>25</v>
      </c>
      <c r="G353" s="4" t="s">
        <v>25</v>
      </c>
      <c r="H353" s="4" t="s">
        <v>25</v>
      </c>
      <c r="I353" s="5">
        <v>44682</v>
      </c>
      <c r="J353" s="6">
        <v>0</v>
      </c>
      <c r="K353" s="6">
        <v>0</v>
      </c>
      <c r="L353" s="6">
        <v>4.1260000000000003</v>
      </c>
      <c r="M353" s="6">
        <v>4.1260000000000003</v>
      </c>
      <c r="N353" s="6">
        <v>4.1260000000000003</v>
      </c>
      <c r="O353" s="6">
        <v>4.1260000000000003</v>
      </c>
      <c r="P353" s="6">
        <v>3</v>
      </c>
      <c r="Q353" s="4" t="s">
        <v>26</v>
      </c>
      <c r="R353" s="4">
        <v>0</v>
      </c>
      <c r="S353" s="6">
        <v>0</v>
      </c>
      <c r="T353" s="6">
        <v>67</v>
      </c>
      <c r="U353" s="6">
        <v>39</v>
      </c>
      <c r="V353" s="6">
        <f>IF(ISERROR(VLOOKUP($S$353,'TAR FIN'!$A$1:$O$85,15,0)),0,VLOOKUP($S$353,'TAR FIN'!$A$1:$O$85,15,0))</f>
        <v>0</v>
      </c>
      <c r="W353" s="6">
        <f>IF(ISERROR(VLOOKUP($T$353,'TAR FIN'!$A$1:$O$85,15,0)),0,VLOOKUP($T$353,'TAR FIN'!$A$1:$O$85,15,0))</f>
        <v>442.96</v>
      </c>
      <c r="X353" s="6">
        <f>IF(ISERROR(VLOOKUP($U$353,'TAR FIN'!$A$1:$O$85,15,0)),0,VLOOKUP($U$353,'TAR FIN'!$A$1:$O$85,15,0))</f>
        <v>185.74</v>
      </c>
      <c r="Y353" s="6"/>
      <c r="Z353" s="6">
        <f ca="1">('TUSD BE'!$AM$48+'TUSD BF'!$AM$48+'TUSD CVA'!$AM$48)*1</f>
        <v>519.26043781347539</v>
      </c>
      <c r="AA353" s="6">
        <f>('TE BE'!$AB$39+'TE BF'!$AB$39+'TE CVA'!$AB$39)*1</f>
        <v>166.7634981586946</v>
      </c>
      <c r="AB353" s="6">
        <f>$K$353*$V$353</f>
        <v>0</v>
      </c>
      <c r="AC353" s="6">
        <f>$M$353*$W$353</f>
        <v>1827.6529600000001</v>
      </c>
      <c r="AD353" s="6">
        <f>$O$353*$X$353</f>
        <v>766.36324000000013</v>
      </c>
      <c r="AE353" s="6">
        <f>$K$353*$Y$353</f>
        <v>0</v>
      </c>
      <c r="AF353" s="6">
        <f ca="1">$M$353*$Z$353</f>
        <v>2142.4685664183999</v>
      </c>
      <c r="AG353" s="6">
        <f>$O$353*$AA$353</f>
        <v>688.06619340277393</v>
      </c>
    </row>
    <row r="354" spans="1:33" ht="11.25" customHeight="1" x14ac:dyDescent="0.3">
      <c r="A354" s="4" t="s">
        <v>21</v>
      </c>
      <c r="B354" s="4" t="s">
        <v>35</v>
      </c>
      <c r="C354" s="4" t="s">
        <v>23</v>
      </c>
      <c r="D354" s="4" t="s">
        <v>36</v>
      </c>
      <c r="E354" s="4" t="s">
        <v>25</v>
      </c>
      <c r="F354" s="4" t="s">
        <v>25</v>
      </c>
      <c r="G354" s="4" t="s">
        <v>25</v>
      </c>
      <c r="H354" s="4" t="s">
        <v>25</v>
      </c>
      <c r="I354" s="5">
        <v>44713</v>
      </c>
      <c r="J354" s="6">
        <v>0</v>
      </c>
      <c r="K354" s="6">
        <v>0</v>
      </c>
      <c r="L354" s="6">
        <v>40.014000000000003</v>
      </c>
      <c r="M354" s="6">
        <v>40.014000000000003</v>
      </c>
      <c r="N354" s="6">
        <v>40.014000000000003</v>
      </c>
      <c r="O354" s="6">
        <v>40.014000000000003</v>
      </c>
      <c r="P354" s="6">
        <v>44</v>
      </c>
      <c r="Q354" s="4" t="s">
        <v>26</v>
      </c>
      <c r="R354" s="4">
        <v>0</v>
      </c>
      <c r="S354" s="6">
        <v>0</v>
      </c>
      <c r="T354" s="6">
        <v>67</v>
      </c>
      <c r="U354" s="6">
        <v>39</v>
      </c>
      <c r="V354" s="6">
        <f>IF(ISERROR(VLOOKUP($S$354,'TAR FIN'!$A$1:$O$85,15,0)),0,VLOOKUP($S$354,'TAR FIN'!$A$1:$O$85,15,0))</f>
        <v>0</v>
      </c>
      <c r="W354" s="6">
        <f>IF(ISERROR(VLOOKUP($T$354,'TAR FIN'!$A$1:$O$85,15,0)),0,VLOOKUP($T$354,'TAR FIN'!$A$1:$O$85,15,0))</f>
        <v>442.96</v>
      </c>
      <c r="X354" s="6">
        <f>IF(ISERROR(VLOOKUP($U$354,'TAR FIN'!$A$1:$O$85,15,0)),0,VLOOKUP($U$354,'TAR FIN'!$A$1:$O$85,15,0))</f>
        <v>185.74</v>
      </c>
      <c r="Y354" s="6"/>
      <c r="Z354" s="6">
        <f ca="1">('TUSD BE'!$AM$48+'TUSD BF'!$AM$48+'TUSD CVA'!$AM$48)*1</f>
        <v>519.26043781347539</v>
      </c>
      <c r="AA354" s="6">
        <f>('TE BE'!$AB$39+'TE BF'!$AB$39+'TE CVA'!$AB$39)*1</f>
        <v>166.7634981586946</v>
      </c>
      <c r="AB354" s="6">
        <f>$K$354*$V$354</f>
        <v>0</v>
      </c>
      <c r="AC354" s="6">
        <f>$M$354*$W$354</f>
        <v>17724.601440000002</v>
      </c>
      <c r="AD354" s="6">
        <f>$O$354*$X$354</f>
        <v>7432.2003600000007</v>
      </c>
      <c r="AE354" s="6">
        <f>$K$354*$Y$354</f>
        <v>0</v>
      </c>
      <c r="AF354" s="6">
        <f ca="1">$M$354*$Z$354</f>
        <v>20777.687158668406</v>
      </c>
      <c r="AG354" s="6">
        <f>$O$354*$AA$354</f>
        <v>6672.8746153220063</v>
      </c>
    </row>
    <row r="355" spans="1:33" ht="11.25" customHeight="1" x14ac:dyDescent="0.3">
      <c r="A355" s="4" t="s">
        <v>21</v>
      </c>
      <c r="B355" s="4" t="s">
        <v>35</v>
      </c>
      <c r="C355" s="4" t="s">
        <v>23</v>
      </c>
      <c r="D355" s="4" t="s">
        <v>36</v>
      </c>
      <c r="E355" s="4" t="s">
        <v>25</v>
      </c>
      <c r="F355" s="4" t="s">
        <v>25</v>
      </c>
      <c r="G355" s="4" t="s">
        <v>25</v>
      </c>
      <c r="H355" s="4" t="s">
        <v>25</v>
      </c>
      <c r="I355" s="5">
        <v>44743</v>
      </c>
      <c r="J355" s="6">
        <v>0</v>
      </c>
      <c r="K355" s="6">
        <v>0</v>
      </c>
      <c r="L355" s="6">
        <v>32.512999999999998</v>
      </c>
      <c r="M355" s="6">
        <v>32.512999999999998</v>
      </c>
      <c r="N355" s="6">
        <v>32.512999999999998</v>
      </c>
      <c r="O355" s="6">
        <v>32.512999999999998</v>
      </c>
      <c r="P355" s="6">
        <v>44</v>
      </c>
      <c r="Q355" s="4" t="s">
        <v>26</v>
      </c>
      <c r="R355" s="4">
        <v>0</v>
      </c>
      <c r="S355" s="6">
        <v>0</v>
      </c>
      <c r="T355" s="6">
        <v>67</v>
      </c>
      <c r="U355" s="6">
        <v>39</v>
      </c>
      <c r="V355" s="6">
        <f>IF(ISERROR(VLOOKUP($S$355,'TAR FIN'!$A$1:$O$85,15,0)),0,VLOOKUP($S$355,'TAR FIN'!$A$1:$O$85,15,0))</f>
        <v>0</v>
      </c>
      <c r="W355" s="6">
        <f>IF(ISERROR(VLOOKUP($T$355,'TAR FIN'!$A$1:$O$85,15,0)),0,VLOOKUP($T$355,'TAR FIN'!$A$1:$O$85,15,0))</f>
        <v>442.96</v>
      </c>
      <c r="X355" s="6">
        <f>IF(ISERROR(VLOOKUP($U$355,'TAR FIN'!$A$1:$O$85,15,0)),0,VLOOKUP($U$355,'TAR FIN'!$A$1:$O$85,15,0))</f>
        <v>185.74</v>
      </c>
      <c r="Y355" s="6"/>
      <c r="Z355" s="6">
        <f ca="1">('TUSD BE'!$AM$48+'TUSD BF'!$AM$48+'TUSD CVA'!$AM$48)*1</f>
        <v>519.26043781347539</v>
      </c>
      <c r="AA355" s="6">
        <f>('TE BE'!$AB$39+'TE BF'!$AB$39+'TE CVA'!$AB$39)*1</f>
        <v>166.7634981586946</v>
      </c>
      <c r="AB355" s="6">
        <f>$K$355*$V$355</f>
        <v>0</v>
      </c>
      <c r="AC355" s="6">
        <f>$M$355*$W$355</f>
        <v>14401.958479999999</v>
      </c>
      <c r="AD355" s="6">
        <f>$O$355*$X$355</f>
        <v>6038.9646199999997</v>
      </c>
      <c r="AE355" s="6">
        <f>$K$355*$Y$355</f>
        <v>0</v>
      </c>
      <c r="AF355" s="6">
        <f ca="1">$M$355*$Z$355</f>
        <v>16882.714614629524</v>
      </c>
      <c r="AG355" s="6">
        <f>$O$355*$AA$355</f>
        <v>5421.9816156336374</v>
      </c>
    </row>
    <row r="356" spans="1:33" ht="11.25" customHeight="1" x14ac:dyDescent="0.3">
      <c r="A356" s="4" t="s">
        <v>28</v>
      </c>
      <c r="B356" s="4" t="s">
        <v>35</v>
      </c>
      <c r="C356" s="4" t="s">
        <v>23</v>
      </c>
      <c r="D356" s="4" t="s">
        <v>36</v>
      </c>
      <c r="E356" s="4" t="s">
        <v>25</v>
      </c>
      <c r="F356" s="4" t="s">
        <v>25</v>
      </c>
      <c r="G356" s="4" t="s">
        <v>25</v>
      </c>
      <c r="H356" s="4" t="s">
        <v>25</v>
      </c>
      <c r="I356" s="5">
        <v>44743</v>
      </c>
      <c r="J356" s="6">
        <v>0</v>
      </c>
      <c r="K356" s="6">
        <v>0</v>
      </c>
      <c r="L356" s="6">
        <v>6.4180000000000001</v>
      </c>
      <c r="M356" s="6">
        <v>6.4180000000000001</v>
      </c>
      <c r="N356" s="6">
        <v>6.4180000000000001</v>
      </c>
      <c r="O356" s="6">
        <v>6.4180000000000001</v>
      </c>
      <c r="P356" s="6">
        <v>3</v>
      </c>
      <c r="Q356" s="4" t="s">
        <v>26</v>
      </c>
      <c r="R356" s="4">
        <v>0</v>
      </c>
      <c r="S356" s="6">
        <v>0</v>
      </c>
      <c r="T356" s="6">
        <v>67</v>
      </c>
      <c r="U356" s="6">
        <v>39</v>
      </c>
      <c r="V356" s="6">
        <f>IF(ISERROR(VLOOKUP($S$356,'TAR FIN'!$A$1:$O$85,15,0)),0,VLOOKUP($S$356,'TAR FIN'!$A$1:$O$85,15,0))</f>
        <v>0</v>
      </c>
      <c r="W356" s="6">
        <f>IF(ISERROR(VLOOKUP($T$356,'TAR FIN'!$A$1:$O$85,15,0)),0,VLOOKUP($T$356,'TAR FIN'!$A$1:$O$85,15,0))</f>
        <v>442.96</v>
      </c>
      <c r="X356" s="6">
        <f>IF(ISERROR(VLOOKUP($U$356,'TAR FIN'!$A$1:$O$85,15,0)),0,VLOOKUP($U$356,'TAR FIN'!$A$1:$O$85,15,0))</f>
        <v>185.74</v>
      </c>
      <c r="Y356" s="6"/>
      <c r="Z356" s="6">
        <f ca="1">('TUSD BE'!$AM$48+'TUSD BF'!$AM$48+'TUSD CVA'!$AM$48)*1</f>
        <v>519.26043781347539</v>
      </c>
      <c r="AA356" s="6">
        <f>('TE BE'!$AB$39+'TE BF'!$AB$39+'TE CVA'!$AB$39)*1</f>
        <v>166.7634981586946</v>
      </c>
      <c r="AB356" s="6">
        <f>$K$356*$V$356</f>
        <v>0</v>
      </c>
      <c r="AC356" s="6">
        <f>$M$356*$W$356</f>
        <v>2842.9172800000001</v>
      </c>
      <c r="AD356" s="6">
        <f>$O$356*$X$356</f>
        <v>1192.0793200000001</v>
      </c>
      <c r="AE356" s="6">
        <f>$K$356*$Y$356</f>
        <v>0</v>
      </c>
      <c r="AF356" s="6">
        <f ca="1">$M$356*$Z$356</f>
        <v>3332.613489886885</v>
      </c>
      <c r="AG356" s="6">
        <f>$O$356*$AA$356</f>
        <v>1070.288131182502</v>
      </c>
    </row>
    <row r="357" spans="1:33" ht="11.25" customHeight="1" x14ac:dyDescent="0.3">
      <c r="A357" s="4" t="s">
        <v>21</v>
      </c>
      <c r="B357" s="4" t="s">
        <v>35</v>
      </c>
      <c r="C357" s="4" t="s">
        <v>23</v>
      </c>
      <c r="D357" s="4" t="s">
        <v>36</v>
      </c>
      <c r="E357" s="4" t="s">
        <v>25</v>
      </c>
      <c r="F357" s="4" t="s">
        <v>25</v>
      </c>
      <c r="G357" s="4" t="s">
        <v>25</v>
      </c>
      <c r="H357" s="4" t="s">
        <v>25</v>
      </c>
      <c r="I357" s="5">
        <v>44774</v>
      </c>
      <c r="J357" s="6">
        <v>0</v>
      </c>
      <c r="K357" s="6">
        <v>0</v>
      </c>
      <c r="L357" s="6">
        <v>39.868000000000002</v>
      </c>
      <c r="M357" s="6">
        <v>39.868000000000002</v>
      </c>
      <c r="N357" s="6">
        <v>39.868000000000002</v>
      </c>
      <c r="O357" s="6">
        <v>39.868000000000002</v>
      </c>
      <c r="P357" s="6">
        <v>44</v>
      </c>
      <c r="Q357" s="4" t="s">
        <v>26</v>
      </c>
      <c r="R357" s="4">
        <v>0</v>
      </c>
      <c r="S357" s="6">
        <v>0</v>
      </c>
      <c r="T357" s="6">
        <v>67</v>
      </c>
      <c r="U357" s="6">
        <v>39</v>
      </c>
      <c r="V357" s="6">
        <f>IF(ISERROR(VLOOKUP($S$357,'TAR FIN'!$A$1:$O$85,15,0)),0,VLOOKUP($S$357,'TAR FIN'!$A$1:$O$85,15,0))</f>
        <v>0</v>
      </c>
      <c r="W357" s="6">
        <f>IF(ISERROR(VLOOKUP($T$357,'TAR FIN'!$A$1:$O$85,15,0)),0,VLOOKUP($T$357,'TAR FIN'!$A$1:$O$85,15,0))</f>
        <v>442.96</v>
      </c>
      <c r="X357" s="6">
        <f>IF(ISERROR(VLOOKUP($U$357,'TAR FIN'!$A$1:$O$85,15,0)),0,VLOOKUP($U$357,'TAR FIN'!$A$1:$O$85,15,0))</f>
        <v>185.74</v>
      </c>
      <c r="Y357" s="6"/>
      <c r="Z357" s="6">
        <f ca="1">('TUSD BE'!$AM$48+'TUSD BF'!$AM$48+'TUSD CVA'!$AM$48)*1</f>
        <v>519.26043781347539</v>
      </c>
      <c r="AA357" s="6">
        <f>('TE BE'!$AB$39+'TE BF'!$AB$39+'TE CVA'!$AB$39)*1</f>
        <v>166.7634981586946</v>
      </c>
      <c r="AB357" s="6">
        <f>$K$357*$V$357</f>
        <v>0</v>
      </c>
      <c r="AC357" s="6">
        <f>$M$357*$W$357</f>
        <v>17659.92928</v>
      </c>
      <c r="AD357" s="6">
        <f>$O$357*$X$357</f>
        <v>7405.0823200000004</v>
      </c>
      <c r="AE357" s="6">
        <f>$K$357*$Y$357</f>
        <v>0</v>
      </c>
      <c r="AF357" s="6">
        <f ca="1">$M$357*$Z$357</f>
        <v>20701.875134747639</v>
      </c>
      <c r="AG357" s="6">
        <f>$O$357*$AA$357</f>
        <v>6648.5271445908365</v>
      </c>
    </row>
    <row r="358" spans="1:33" ht="11.25" customHeight="1" x14ac:dyDescent="0.3">
      <c r="A358" s="4" t="s">
        <v>28</v>
      </c>
      <c r="B358" s="4" t="s">
        <v>35</v>
      </c>
      <c r="C358" s="4" t="s">
        <v>23</v>
      </c>
      <c r="D358" s="4" t="s">
        <v>36</v>
      </c>
      <c r="E358" s="4" t="s">
        <v>25</v>
      </c>
      <c r="F358" s="4" t="s">
        <v>25</v>
      </c>
      <c r="G358" s="4" t="s">
        <v>25</v>
      </c>
      <c r="H358" s="4" t="s">
        <v>25</v>
      </c>
      <c r="I358" s="5">
        <v>44774</v>
      </c>
      <c r="J358" s="6">
        <v>0</v>
      </c>
      <c r="K358" s="6">
        <v>0</v>
      </c>
      <c r="L358" s="6">
        <v>7.0250000000000004</v>
      </c>
      <c r="M358" s="6">
        <v>7.0250000000000004</v>
      </c>
      <c r="N358" s="6">
        <v>7.0250000000000004</v>
      </c>
      <c r="O358" s="6">
        <v>7.0250000000000004</v>
      </c>
      <c r="P358" s="6">
        <v>3</v>
      </c>
      <c r="Q358" s="4" t="s">
        <v>26</v>
      </c>
      <c r="R358" s="4">
        <v>0</v>
      </c>
      <c r="S358" s="6">
        <v>0</v>
      </c>
      <c r="T358" s="6">
        <v>67</v>
      </c>
      <c r="U358" s="6">
        <v>39</v>
      </c>
      <c r="V358" s="6">
        <f>IF(ISERROR(VLOOKUP($S$358,'TAR FIN'!$A$1:$O$85,15,0)),0,VLOOKUP($S$358,'TAR FIN'!$A$1:$O$85,15,0))</f>
        <v>0</v>
      </c>
      <c r="W358" s="6">
        <f>IF(ISERROR(VLOOKUP($T$358,'TAR FIN'!$A$1:$O$85,15,0)),0,VLOOKUP($T$358,'TAR FIN'!$A$1:$O$85,15,0))</f>
        <v>442.96</v>
      </c>
      <c r="X358" s="6">
        <f>IF(ISERROR(VLOOKUP($U$358,'TAR FIN'!$A$1:$O$85,15,0)),0,VLOOKUP($U$358,'TAR FIN'!$A$1:$O$85,15,0))</f>
        <v>185.74</v>
      </c>
      <c r="Y358" s="6"/>
      <c r="Z358" s="6">
        <f ca="1">('TUSD BE'!$AM$48+'TUSD BF'!$AM$48+'TUSD CVA'!$AM$48)*1</f>
        <v>519.26043781347539</v>
      </c>
      <c r="AA358" s="6">
        <f>('TE BE'!$AB$39+'TE BF'!$AB$39+'TE CVA'!$AB$39)*1</f>
        <v>166.7634981586946</v>
      </c>
      <c r="AB358" s="6">
        <f>$K$358*$V$358</f>
        <v>0</v>
      </c>
      <c r="AC358" s="6">
        <f>$M$358*$W$358</f>
        <v>3111.7939999999999</v>
      </c>
      <c r="AD358" s="6">
        <f>$O$358*$X$358</f>
        <v>1304.8235000000002</v>
      </c>
      <c r="AE358" s="6">
        <f>$K$358*$Y$358</f>
        <v>0</v>
      </c>
      <c r="AF358" s="6">
        <f ca="1">$M$358*$Z$358</f>
        <v>3647.804575639665</v>
      </c>
      <c r="AG358" s="6">
        <f>$O$358*$AA$358</f>
        <v>1171.5135745648297</v>
      </c>
    </row>
    <row r="359" spans="1:33" ht="11.25" customHeight="1" x14ac:dyDescent="0.3">
      <c r="A359" s="4" t="s">
        <v>21</v>
      </c>
      <c r="B359" s="4" t="s">
        <v>35</v>
      </c>
      <c r="C359" s="4" t="s">
        <v>23</v>
      </c>
      <c r="D359" s="4" t="s">
        <v>45</v>
      </c>
      <c r="E359" s="4" t="s">
        <v>25</v>
      </c>
      <c r="F359" s="4" t="s">
        <v>25</v>
      </c>
      <c r="G359" s="4" t="s">
        <v>25</v>
      </c>
      <c r="H359" s="4" t="s">
        <v>25</v>
      </c>
      <c r="I359" s="5">
        <v>44440</v>
      </c>
      <c r="J359" s="6">
        <v>0</v>
      </c>
      <c r="K359" s="6">
        <v>0</v>
      </c>
      <c r="L359" s="6">
        <v>21.353999999999999</v>
      </c>
      <c r="M359" s="6">
        <v>21.353999999999999</v>
      </c>
      <c r="N359" s="6">
        <v>21.353999999999999</v>
      </c>
      <c r="O359" s="6">
        <v>21.353999999999999</v>
      </c>
      <c r="P359" s="6">
        <v>90</v>
      </c>
      <c r="Q359" s="4" t="s">
        <v>26</v>
      </c>
      <c r="R359" s="4">
        <v>0</v>
      </c>
      <c r="S359" s="6">
        <v>0</v>
      </c>
      <c r="T359" s="6">
        <v>67</v>
      </c>
      <c r="U359" s="6">
        <v>39</v>
      </c>
      <c r="V359" s="6">
        <f>IF(ISERROR(VLOOKUP($S$359,'TAR FIN'!$A$1:$O$85,15,0)),0,VLOOKUP($S$359,'TAR FIN'!$A$1:$O$85,15,0))</f>
        <v>0</v>
      </c>
      <c r="W359" s="6">
        <f>IF(ISERROR(VLOOKUP($T$359,'TAR FIN'!$A$1:$O$85,15,0)),0,VLOOKUP($T$359,'TAR FIN'!$A$1:$O$85,15,0))</f>
        <v>442.96</v>
      </c>
      <c r="X359" s="6">
        <f>IF(ISERROR(VLOOKUP($U$359,'TAR FIN'!$A$1:$O$85,15,0)),0,VLOOKUP($U$359,'TAR FIN'!$A$1:$O$85,15,0))</f>
        <v>185.74</v>
      </c>
      <c r="Y359" s="6"/>
      <c r="Z359" s="6">
        <f ca="1">('TUSD BE'!$AM$48+'TUSD BF'!$AM$48+'TUSD CVA'!$AM$48)*1</f>
        <v>519.26043781347539</v>
      </c>
      <c r="AA359" s="6">
        <f>('TE BE'!$AB$39+'TE BF'!$AB$39+'TE CVA'!$AB$39)*1</f>
        <v>166.7634981586946</v>
      </c>
      <c r="AB359" s="6">
        <f>$K$359*$V$359</f>
        <v>0</v>
      </c>
      <c r="AC359" s="6">
        <f>$M$359*$W$359</f>
        <v>9458.9678399999993</v>
      </c>
      <c r="AD359" s="6">
        <f>$O$359*$X$359</f>
        <v>3966.29196</v>
      </c>
      <c r="AE359" s="6">
        <f>$K$359*$Y$359</f>
        <v>0</v>
      </c>
      <c r="AF359" s="6">
        <f ca="1">$M$359*$Z$359</f>
        <v>11088.287389068953</v>
      </c>
      <c r="AG359" s="6">
        <f>$O$359*$AA$359</f>
        <v>3561.0677396807646</v>
      </c>
    </row>
    <row r="360" spans="1:33" ht="11.25" customHeight="1" x14ac:dyDescent="0.3">
      <c r="A360" s="4" t="s">
        <v>21</v>
      </c>
      <c r="B360" s="4" t="s">
        <v>35</v>
      </c>
      <c r="C360" s="4" t="s">
        <v>23</v>
      </c>
      <c r="D360" s="4" t="s">
        <v>45</v>
      </c>
      <c r="E360" s="4" t="s">
        <v>25</v>
      </c>
      <c r="F360" s="4" t="s">
        <v>25</v>
      </c>
      <c r="G360" s="4" t="s">
        <v>25</v>
      </c>
      <c r="H360" s="4" t="s">
        <v>25</v>
      </c>
      <c r="I360" s="5">
        <v>44470</v>
      </c>
      <c r="J360" s="6">
        <v>0</v>
      </c>
      <c r="K360" s="6">
        <v>0</v>
      </c>
      <c r="L360" s="6">
        <v>20.651</v>
      </c>
      <c r="M360" s="6">
        <v>20.651</v>
      </c>
      <c r="N360" s="6">
        <v>20.651</v>
      </c>
      <c r="O360" s="6">
        <v>20.651</v>
      </c>
      <c r="P360" s="6">
        <v>90</v>
      </c>
      <c r="Q360" s="4" t="s">
        <v>26</v>
      </c>
      <c r="R360" s="4">
        <v>0</v>
      </c>
      <c r="S360" s="6">
        <v>0</v>
      </c>
      <c r="T360" s="6">
        <v>67</v>
      </c>
      <c r="U360" s="6">
        <v>39</v>
      </c>
      <c r="V360" s="6">
        <f>IF(ISERROR(VLOOKUP($S$360,'TAR FIN'!$A$1:$O$85,15,0)),0,VLOOKUP($S$360,'TAR FIN'!$A$1:$O$85,15,0))</f>
        <v>0</v>
      </c>
      <c r="W360" s="6">
        <f>IF(ISERROR(VLOOKUP($T$360,'TAR FIN'!$A$1:$O$85,15,0)),0,VLOOKUP($T$360,'TAR FIN'!$A$1:$O$85,15,0))</f>
        <v>442.96</v>
      </c>
      <c r="X360" s="6">
        <f>IF(ISERROR(VLOOKUP($U$360,'TAR FIN'!$A$1:$O$85,15,0)),0,VLOOKUP($U$360,'TAR FIN'!$A$1:$O$85,15,0))</f>
        <v>185.74</v>
      </c>
      <c r="Y360" s="6"/>
      <c r="Z360" s="6">
        <f ca="1">('TUSD BE'!$AM$48+'TUSD BF'!$AM$48+'TUSD CVA'!$AM$48)*1</f>
        <v>519.26043781347539</v>
      </c>
      <c r="AA360" s="6">
        <f>('TE BE'!$AB$39+'TE BF'!$AB$39+'TE CVA'!$AB$39)*1</f>
        <v>166.7634981586946</v>
      </c>
      <c r="AB360" s="6">
        <f>$K$360*$V$360</f>
        <v>0</v>
      </c>
      <c r="AC360" s="6">
        <f>$M$360*$W$360</f>
        <v>9147.5669600000001</v>
      </c>
      <c r="AD360" s="6">
        <f>$O$360*$X$360</f>
        <v>3835.7167400000003</v>
      </c>
      <c r="AE360" s="6">
        <f>$K$360*$Y$360</f>
        <v>0</v>
      </c>
      <c r="AF360" s="6">
        <f ca="1">$M$360*$Z$360</f>
        <v>10723.247301286081</v>
      </c>
      <c r="AG360" s="6">
        <f>$O$360*$AA$360</f>
        <v>3443.8330004752024</v>
      </c>
    </row>
    <row r="361" spans="1:33" ht="11.25" customHeight="1" x14ac:dyDescent="0.3">
      <c r="A361" s="4" t="s">
        <v>21</v>
      </c>
      <c r="B361" s="4" t="s">
        <v>35</v>
      </c>
      <c r="C361" s="4" t="s">
        <v>23</v>
      </c>
      <c r="D361" s="4" t="s">
        <v>45</v>
      </c>
      <c r="E361" s="4" t="s">
        <v>25</v>
      </c>
      <c r="F361" s="4" t="s">
        <v>25</v>
      </c>
      <c r="G361" s="4" t="s">
        <v>25</v>
      </c>
      <c r="H361" s="4" t="s">
        <v>25</v>
      </c>
      <c r="I361" s="5">
        <v>44501</v>
      </c>
      <c r="J361" s="6">
        <v>0</v>
      </c>
      <c r="K361" s="6">
        <v>0</v>
      </c>
      <c r="L361" s="6">
        <v>20.763000000000002</v>
      </c>
      <c r="M361" s="6">
        <v>20.763000000000002</v>
      </c>
      <c r="N361" s="6">
        <v>20.763000000000002</v>
      </c>
      <c r="O361" s="6">
        <v>20.763000000000002</v>
      </c>
      <c r="P361" s="6">
        <v>91</v>
      </c>
      <c r="Q361" s="4" t="s">
        <v>26</v>
      </c>
      <c r="R361" s="4">
        <v>0</v>
      </c>
      <c r="S361" s="6">
        <v>0</v>
      </c>
      <c r="T361" s="6">
        <v>67</v>
      </c>
      <c r="U361" s="6">
        <v>39</v>
      </c>
      <c r="V361" s="6">
        <f>IF(ISERROR(VLOOKUP($S$361,'TAR FIN'!$A$1:$O$85,15,0)),0,VLOOKUP($S$361,'TAR FIN'!$A$1:$O$85,15,0))</f>
        <v>0</v>
      </c>
      <c r="W361" s="6">
        <f>IF(ISERROR(VLOOKUP($T$361,'TAR FIN'!$A$1:$O$85,15,0)),0,VLOOKUP($T$361,'TAR FIN'!$A$1:$O$85,15,0))</f>
        <v>442.96</v>
      </c>
      <c r="X361" s="6">
        <f>IF(ISERROR(VLOOKUP($U$361,'TAR FIN'!$A$1:$O$85,15,0)),0,VLOOKUP($U$361,'TAR FIN'!$A$1:$O$85,15,0))</f>
        <v>185.74</v>
      </c>
      <c r="Y361" s="6"/>
      <c r="Z361" s="6">
        <f ca="1">('TUSD BE'!$AM$48+'TUSD BF'!$AM$48+'TUSD CVA'!$AM$48)*1</f>
        <v>519.26043781347539</v>
      </c>
      <c r="AA361" s="6">
        <f>('TE BE'!$AB$39+'TE BF'!$AB$39+'TE CVA'!$AB$39)*1</f>
        <v>166.7634981586946</v>
      </c>
      <c r="AB361" s="6">
        <f>$K$361*$V$361</f>
        <v>0</v>
      </c>
      <c r="AC361" s="6">
        <f>$M$361*$W$361</f>
        <v>9197.1784800000005</v>
      </c>
      <c r="AD361" s="6">
        <f>$O$361*$X$361</f>
        <v>3856.5196200000005</v>
      </c>
      <c r="AE361" s="6">
        <f>$K$361*$Y$361</f>
        <v>0</v>
      </c>
      <c r="AF361" s="6">
        <f ca="1">$M$361*$Z$361</f>
        <v>10781.404470321191</v>
      </c>
      <c r="AG361" s="6">
        <f>$O$361*$AA$361</f>
        <v>3462.5105122689765</v>
      </c>
    </row>
    <row r="362" spans="1:33" ht="11.25" customHeight="1" x14ac:dyDescent="0.3">
      <c r="A362" s="4" t="s">
        <v>21</v>
      </c>
      <c r="B362" s="4" t="s">
        <v>35</v>
      </c>
      <c r="C362" s="4" t="s">
        <v>23</v>
      </c>
      <c r="D362" s="4" t="s">
        <v>45</v>
      </c>
      <c r="E362" s="4" t="s">
        <v>25</v>
      </c>
      <c r="F362" s="4" t="s">
        <v>25</v>
      </c>
      <c r="G362" s="4" t="s">
        <v>25</v>
      </c>
      <c r="H362" s="4" t="s">
        <v>25</v>
      </c>
      <c r="I362" s="5">
        <v>44531</v>
      </c>
      <c r="J362" s="6">
        <v>0</v>
      </c>
      <c r="K362" s="6">
        <v>0</v>
      </c>
      <c r="L362" s="6">
        <v>19.356000000000002</v>
      </c>
      <c r="M362" s="6">
        <v>19.356000000000002</v>
      </c>
      <c r="N362" s="6">
        <v>19.356000000000002</v>
      </c>
      <c r="O362" s="6">
        <v>19.356000000000002</v>
      </c>
      <c r="P362" s="6">
        <v>93</v>
      </c>
      <c r="Q362" s="4" t="s">
        <v>26</v>
      </c>
      <c r="R362" s="4">
        <v>0</v>
      </c>
      <c r="S362" s="6">
        <v>0</v>
      </c>
      <c r="T362" s="6">
        <v>67</v>
      </c>
      <c r="U362" s="6">
        <v>39</v>
      </c>
      <c r="V362" s="6">
        <f>IF(ISERROR(VLOOKUP($S$362,'TAR FIN'!$A$1:$O$85,15,0)),0,VLOOKUP($S$362,'TAR FIN'!$A$1:$O$85,15,0))</f>
        <v>0</v>
      </c>
      <c r="W362" s="6">
        <f>IF(ISERROR(VLOOKUP($T$362,'TAR FIN'!$A$1:$O$85,15,0)),0,VLOOKUP($T$362,'TAR FIN'!$A$1:$O$85,15,0))</f>
        <v>442.96</v>
      </c>
      <c r="X362" s="6">
        <f>IF(ISERROR(VLOOKUP($U$362,'TAR FIN'!$A$1:$O$85,15,0)),0,VLOOKUP($U$362,'TAR FIN'!$A$1:$O$85,15,0))</f>
        <v>185.74</v>
      </c>
      <c r="Y362" s="6"/>
      <c r="Z362" s="6">
        <f ca="1">('TUSD BE'!$AM$48+'TUSD BF'!$AM$48+'TUSD CVA'!$AM$48)*1</f>
        <v>519.26043781347539</v>
      </c>
      <c r="AA362" s="6">
        <f>('TE BE'!$AB$39+'TE BF'!$AB$39+'TE CVA'!$AB$39)*1</f>
        <v>166.7634981586946</v>
      </c>
      <c r="AB362" s="6">
        <f>$K$362*$V$362</f>
        <v>0</v>
      </c>
      <c r="AC362" s="6">
        <f>$M$362*$W$362</f>
        <v>8573.9337599999999</v>
      </c>
      <c r="AD362" s="6">
        <f>$O$362*$X$362</f>
        <v>3595.1834400000007</v>
      </c>
      <c r="AE362" s="6">
        <f>$K$362*$Y$362</f>
        <v>0</v>
      </c>
      <c r="AF362" s="6">
        <f ca="1">$M$362*$Z$362</f>
        <v>10050.805034317631</v>
      </c>
      <c r="AG362" s="6">
        <f>$O$362*$AA$362</f>
        <v>3227.8742703596931</v>
      </c>
    </row>
    <row r="363" spans="1:33" ht="11.25" customHeight="1" x14ac:dyDescent="0.3">
      <c r="A363" s="4" t="s">
        <v>21</v>
      </c>
      <c r="B363" s="4" t="s">
        <v>35</v>
      </c>
      <c r="C363" s="4" t="s">
        <v>23</v>
      </c>
      <c r="D363" s="4" t="s">
        <v>45</v>
      </c>
      <c r="E363" s="4" t="s">
        <v>25</v>
      </c>
      <c r="F363" s="4" t="s">
        <v>25</v>
      </c>
      <c r="G363" s="4" t="s">
        <v>25</v>
      </c>
      <c r="H363" s="4" t="s">
        <v>25</v>
      </c>
      <c r="I363" s="5">
        <v>44562</v>
      </c>
      <c r="J363" s="6">
        <v>0</v>
      </c>
      <c r="K363" s="6">
        <v>0</v>
      </c>
      <c r="L363" s="6">
        <v>18.238</v>
      </c>
      <c r="M363" s="6">
        <v>18.238</v>
      </c>
      <c r="N363" s="6">
        <v>18.238</v>
      </c>
      <c r="O363" s="6">
        <v>18.238</v>
      </c>
      <c r="P363" s="6">
        <v>93</v>
      </c>
      <c r="Q363" s="4" t="s">
        <v>26</v>
      </c>
      <c r="R363" s="4">
        <v>0</v>
      </c>
      <c r="S363" s="6">
        <v>0</v>
      </c>
      <c r="T363" s="6">
        <v>67</v>
      </c>
      <c r="U363" s="6">
        <v>39</v>
      </c>
      <c r="V363" s="6">
        <f>IF(ISERROR(VLOOKUP($S$363,'TAR FIN'!$A$1:$O$85,15,0)),0,VLOOKUP($S$363,'TAR FIN'!$A$1:$O$85,15,0))</f>
        <v>0</v>
      </c>
      <c r="W363" s="6">
        <f>IF(ISERROR(VLOOKUP($T$363,'TAR FIN'!$A$1:$O$85,15,0)),0,VLOOKUP($T$363,'TAR FIN'!$A$1:$O$85,15,0))</f>
        <v>442.96</v>
      </c>
      <c r="X363" s="6">
        <f>IF(ISERROR(VLOOKUP($U$363,'TAR FIN'!$A$1:$O$85,15,0)),0,VLOOKUP($U$363,'TAR FIN'!$A$1:$O$85,15,0))</f>
        <v>185.74</v>
      </c>
      <c r="Y363" s="6"/>
      <c r="Z363" s="6">
        <f ca="1">('TUSD BE'!$AM$48+'TUSD BF'!$AM$48+'TUSD CVA'!$AM$48)*1</f>
        <v>519.26043781347539</v>
      </c>
      <c r="AA363" s="6">
        <f>('TE BE'!$AB$39+'TE BF'!$AB$39+'TE CVA'!$AB$39)*1</f>
        <v>166.7634981586946</v>
      </c>
      <c r="AB363" s="6">
        <f>$K$363*$V$363</f>
        <v>0</v>
      </c>
      <c r="AC363" s="6">
        <f>$M$363*$W$363</f>
        <v>8078.7044799999994</v>
      </c>
      <c r="AD363" s="6">
        <f>$O$363*$X$363</f>
        <v>3387.52612</v>
      </c>
      <c r="AE363" s="6">
        <f>$K$363*$Y$363</f>
        <v>0</v>
      </c>
      <c r="AF363" s="6">
        <f ca="1">$M$363*$Z$363</f>
        <v>9470.2718648421633</v>
      </c>
      <c r="AG363" s="6">
        <f>$O$363*$AA$363</f>
        <v>3041.4326794182721</v>
      </c>
    </row>
    <row r="364" spans="1:33" ht="11.25" customHeight="1" x14ac:dyDescent="0.3">
      <c r="A364" s="4" t="s">
        <v>21</v>
      </c>
      <c r="B364" s="4" t="s">
        <v>35</v>
      </c>
      <c r="C364" s="4" t="s">
        <v>23</v>
      </c>
      <c r="D364" s="4" t="s">
        <v>45</v>
      </c>
      <c r="E364" s="4" t="s">
        <v>25</v>
      </c>
      <c r="F364" s="4" t="s">
        <v>25</v>
      </c>
      <c r="G364" s="4" t="s">
        <v>25</v>
      </c>
      <c r="H364" s="4" t="s">
        <v>25</v>
      </c>
      <c r="I364" s="5">
        <v>44593</v>
      </c>
      <c r="J364" s="6">
        <v>0</v>
      </c>
      <c r="K364" s="6">
        <v>0</v>
      </c>
      <c r="L364" s="6">
        <v>21.077000000000002</v>
      </c>
      <c r="M364" s="6">
        <v>21.077000000000002</v>
      </c>
      <c r="N364" s="6">
        <v>21.077000000000002</v>
      </c>
      <c r="O364" s="6">
        <v>21.077000000000002</v>
      </c>
      <c r="P364" s="6">
        <v>92</v>
      </c>
      <c r="Q364" s="4" t="s">
        <v>26</v>
      </c>
      <c r="R364" s="4">
        <v>0</v>
      </c>
      <c r="S364" s="6">
        <v>0</v>
      </c>
      <c r="T364" s="6">
        <v>67</v>
      </c>
      <c r="U364" s="6">
        <v>39</v>
      </c>
      <c r="V364" s="6">
        <f>IF(ISERROR(VLOOKUP($S$364,'TAR FIN'!$A$1:$O$85,15,0)),0,VLOOKUP($S$364,'TAR FIN'!$A$1:$O$85,15,0))</f>
        <v>0</v>
      </c>
      <c r="W364" s="6">
        <f>IF(ISERROR(VLOOKUP($T$364,'TAR FIN'!$A$1:$O$85,15,0)),0,VLOOKUP($T$364,'TAR FIN'!$A$1:$O$85,15,0))</f>
        <v>442.96</v>
      </c>
      <c r="X364" s="6">
        <f>IF(ISERROR(VLOOKUP($U$364,'TAR FIN'!$A$1:$O$85,15,0)),0,VLOOKUP($U$364,'TAR FIN'!$A$1:$O$85,15,0))</f>
        <v>185.74</v>
      </c>
      <c r="Y364" s="6"/>
      <c r="Z364" s="6">
        <f ca="1">('TUSD BE'!$AM$48+'TUSD BF'!$AM$48+'TUSD CVA'!$AM$48)*1</f>
        <v>519.26043781347539</v>
      </c>
      <c r="AA364" s="6">
        <f>('TE BE'!$AB$39+'TE BF'!$AB$39+'TE CVA'!$AB$39)*1</f>
        <v>166.7634981586946</v>
      </c>
      <c r="AB364" s="6">
        <f>$K$364*$V$364</f>
        <v>0</v>
      </c>
      <c r="AC364" s="6">
        <f>$M$364*$W$364</f>
        <v>9336.2679200000002</v>
      </c>
      <c r="AD364" s="6">
        <f>$O$364*$X$364</f>
        <v>3914.8419800000006</v>
      </c>
      <c r="AE364" s="6">
        <f>$K$364*$Y$364</f>
        <v>0</v>
      </c>
      <c r="AF364" s="6">
        <f ca="1">$M$364*$Z$364</f>
        <v>10944.452247794621</v>
      </c>
      <c r="AG364" s="6">
        <f>$O$364*$AA$364</f>
        <v>3514.8742506908065</v>
      </c>
    </row>
    <row r="365" spans="1:33" ht="11.25" customHeight="1" x14ac:dyDescent="0.3">
      <c r="A365" s="4" t="s">
        <v>21</v>
      </c>
      <c r="B365" s="4" t="s">
        <v>35</v>
      </c>
      <c r="C365" s="4" t="s">
        <v>23</v>
      </c>
      <c r="D365" s="4" t="s">
        <v>45</v>
      </c>
      <c r="E365" s="4" t="s">
        <v>25</v>
      </c>
      <c r="F365" s="4" t="s">
        <v>25</v>
      </c>
      <c r="G365" s="4" t="s">
        <v>25</v>
      </c>
      <c r="H365" s="4" t="s">
        <v>25</v>
      </c>
      <c r="I365" s="5">
        <v>44621</v>
      </c>
      <c r="J365" s="6">
        <v>0</v>
      </c>
      <c r="K365" s="6">
        <v>0</v>
      </c>
      <c r="L365" s="6">
        <v>30.733000000000001</v>
      </c>
      <c r="M365" s="6">
        <v>30.733000000000001</v>
      </c>
      <c r="N365" s="6">
        <v>30.733000000000001</v>
      </c>
      <c r="O365" s="6">
        <v>30.733000000000001</v>
      </c>
      <c r="P365" s="6">
        <v>93</v>
      </c>
      <c r="Q365" s="4" t="s">
        <v>26</v>
      </c>
      <c r="R365" s="4">
        <v>0</v>
      </c>
      <c r="S365" s="6">
        <v>0</v>
      </c>
      <c r="T365" s="6">
        <v>67</v>
      </c>
      <c r="U365" s="6">
        <v>39</v>
      </c>
      <c r="V365" s="6">
        <f>IF(ISERROR(VLOOKUP($S$365,'TAR FIN'!$A$1:$O$85,15,0)),0,VLOOKUP($S$365,'TAR FIN'!$A$1:$O$85,15,0))</f>
        <v>0</v>
      </c>
      <c r="W365" s="6">
        <f>IF(ISERROR(VLOOKUP($T$365,'TAR FIN'!$A$1:$O$85,15,0)),0,VLOOKUP($T$365,'TAR FIN'!$A$1:$O$85,15,0))</f>
        <v>442.96</v>
      </c>
      <c r="X365" s="6">
        <f>IF(ISERROR(VLOOKUP($U$365,'TAR FIN'!$A$1:$O$85,15,0)),0,VLOOKUP($U$365,'TAR FIN'!$A$1:$O$85,15,0))</f>
        <v>185.74</v>
      </c>
      <c r="Y365" s="6"/>
      <c r="Z365" s="6">
        <f ca="1">('TUSD BE'!$AM$48+'TUSD BF'!$AM$48+'TUSD CVA'!$AM$48)*1</f>
        <v>519.26043781347539</v>
      </c>
      <c r="AA365" s="6">
        <f>('TE BE'!$AB$39+'TE BF'!$AB$39+'TE CVA'!$AB$39)*1</f>
        <v>166.7634981586946</v>
      </c>
      <c r="AB365" s="6">
        <f>$K$365*$V$365</f>
        <v>0</v>
      </c>
      <c r="AC365" s="6">
        <f>$M$365*$W$365</f>
        <v>13613.489679999999</v>
      </c>
      <c r="AD365" s="6">
        <f>$O$365*$X$365</f>
        <v>5708.3474200000001</v>
      </c>
      <c r="AE365" s="6">
        <f>$K$365*$Y$365</f>
        <v>0</v>
      </c>
      <c r="AF365" s="6">
        <f ca="1">$M$365*$Z$365</f>
        <v>15958.431035321539</v>
      </c>
      <c r="AG365" s="6">
        <f>$O$365*$AA$365</f>
        <v>5125.1425889111615</v>
      </c>
    </row>
    <row r="366" spans="1:33" ht="11.25" customHeight="1" x14ac:dyDescent="0.3">
      <c r="A366" s="4" t="s">
        <v>21</v>
      </c>
      <c r="B366" s="4" t="s">
        <v>35</v>
      </c>
      <c r="C366" s="4" t="s">
        <v>23</v>
      </c>
      <c r="D366" s="4" t="s">
        <v>45</v>
      </c>
      <c r="E366" s="4" t="s">
        <v>25</v>
      </c>
      <c r="F366" s="4" t="s">
        <v>25</v>
      </c>
      <c r="G366" s="4" t="s">
        <v>25</v>
      </c>
      <c r="H366" s="4" t="s">
        <v>25</v>
      </c>
      <c r="I366" s="5">
        <v>44652</v>
      </c>
      <c r="J366" s="6">
        <v>0</v>
      </c>
      <c r="K366" s="6">
        <v>0</v>
      </c>
      <c r="L366" s="6">
        <v>25.068999999999999</v>
      </c>
      <c r="M366" s="6">
        <v>25.068999999999999</v>
      </c>
      <c r="N366" s="6">
        <v>25.068999999999999</v>
      </c>
      <c r="O366" s="6">
        <v>25.068999999999999</v>
      </c>
      <c r="P366" s="6">
        <v>93</v>
      </c>
      <c r="Q366" s="4" t="s">
        <v>26</v>
      </c>
      <c r="R366" s="4">
        <v>0</v>
      </c>
      <c r="S366" s="6">
        <v>0</v>
      </c>
      <c r="T366" s="6">
        <v>67</v>
      </c>
      <c r="U366" s="6">
        <v>39</v>
      </c>
      <c r="V366" s="6">
        <f>IF(ISERROR(VLOOKUP($S$366,'TAR FIN'!$A$1:$O$85,15,0)),0,VLOOKUP($S$366,'TAR FIN'!$A$1:$O$85,15,0))</f>
        <v>0</v>
      </c>
      <c r="W366" s="6">
        <f>IF(ISERROR(VLOOKUP($T$366,'TAR FIN'!$A$1:$O$85,15,0)),0,VLOOKUP($T$366,'TAR FIN'!$A$1:$O$85,15,0))</f>
        <v>442.96</v>
      </c>
      <c r="X366" s="6">
        <f>IF(ISERROR(VLOOKUP($U$366,'TAR FIN'!$A$1:$O$85,15,0)),0,VLOOKUP($U$366,'TAR FIN'!$A$1:$O$85,15,0))</f>
        <v>185.74</v>
      </c>
      <c r="Y366" s="6"/>
      <c r="Z366" s="6">
        <f ca="1">('TUSD BE'!$AM$48+'TUSD BF'!$AM$48+'TUSD CVA'!$AM$48)*1</f>
        <v>519.26043781347539</v>
      </c>
      <c r="AA366" s="6">
        <f>('TE BE'!$AB$39+'TE BF'!$AB$39+'TE CVA'!$AB$39)*1</f>
        <v>166.7634981586946</v>
      </c>
      <c r="AB366" s="6">
        <f>$K$366*$V$366</f>
        <v>0</v>
      </c>
      <c r="AC366" s="6">
        <f>$M$366*$W$366</f>
        <v>11104.56424</v>
      </c>
      <c r="AD366" s="6">
        <f>$O$366*$X$366</f>
        <v>4656.3160600000001</v>
      </c>
      <c r="AE366" s="6">
        <f>$K$366*$Y$366</f>
        <v>0</v>
      </c>
      <c r="AF366" s="6">
        <f ca="1">$M$366*$Z$366</f>
        <v>13017.339915546014</v>
      </c>
      <c r="AG366" s="6">
        <f>$O$366*$AA$366</f>
        <v>4180.594135340315</v>
      </c>
    </row>
    <row r="367" spans="1:33" ht="11.25" customHeight="1" x14ac:dyDescent="0.3">
      <c r="A367" s="4" t="s">
        <v>21</v>
      </c>
      <c r="B367" s="4" t="s">
        <v>35</v>
      </c>
      <c r="C367" s="4" t="s">
        <v>23</v>
      </c>
      <c r="D367" s="4" t="s">
        <v>45</v>
      </c>
      <c r="E367" s="4" t="s">
        <v>25</v>
      </c>
      <c r="F367" s="4" t="s">
        <v>25</v>
      </c>
      <c r="G367" s="4" t="s">
        <v>25</v>
      </c>
      <c r="H367" s="4" t="s">
        <v>25</v>
      </c>
      <c r="I367" s="5">
        <v>44682</v>
      </c>
      <c r="J367" s="6">
        <v>0</v>
      </c>
      <c r="K367" s="6">
        <v>0</v>
      </c>
      <c r="L367" s="6">
        <v>21.931000000000001</v>
      </c>
      <c r="M367" s="6">
        <v>21.931000000000001</v>
      </c>
      <c r="N367" s="6">
        <v>21.931000000000001</v>
      </c>
      <c r="O367" s="6">
        <v>21.931000000000001</v>
      </c>
      <c r="P367" s="6">
        <v>93</v>
      </c>
      <c r="Q367" s="4" t="s">
        <v>26</v>
      </c>
      <c r="R367" s="4">
        <v>0</v>
      </c>
      <c r="S367" s="6">
        <v>0</v>
      </c>
      <c r="T367" s="6">
        <v>67</v>
      </c>
      <c r="U367" s="6">
        <v>39</v>
      </c>
      <c r="V367" s="6">
        <f>IF(ISERROR(VLOOKUP($S$367,'TAR FIN'!$A$1:$O$85,15,0)),0,VLOOKUP($S$367,'TAR FIN'!$A$1:$O$85,15,0))</f>
        <v>0</v>
      </c>
      <c r="W367" s="6">
        <f>IF(ISERROR(VLOOKUP($T$367,'TAR FIN'!$A$1:$O$85,15,0)),0,VLOOKUP($T$367,'TAR FIN'!$A$1:$O$85,15,0))</f>
        <v>442.96</v>
      </c>
      <c r="X367" s="6">
        <f>IF(ISERROR(VLOOKUP($U$367,'TAR FIN'!$A$1:$O$85,15,0)),0,VLOOKUP($U$367,'TAR FIN'!$A$1:$O$85,15,0))</f>
        <v>185.74</v>
      </c>
      <c r="Y367" s="6"/>
      <c r="Z367" s="6">
        <f ca="1">('TUSD BE'!$AM$48+'TUSD BF'!$AM$48+'TUSD CVA'!$AM$48)*1</f>
        <v>519.26043781347539</v>
      </c>
      <c r="AA367" s="6">
        <f>('TE BE'!$AB$39+'TE BF'!$AB$39+'TE CVA'!$AB$39)*1</f>
        <v>166.7634981586946</v>
      </c>
      <c r="AB367" s="6">
        <f>$K$367*$V$367</f>
        <v>0</v>
      </c>
      <c r="AC367" s="6">
        <f>$M$367*$W$367</f>
        <v>9714.5557599999993</v>
      </c>
      <c r="AD367" s="6">
        <f>$O$367*$X$367</f>
        <v>4073.4639400000005</v>
      </c>
      <c r="AE367" s="6">
        <f>$K$367*$Y$367</f>
        <v>0</v>
      </c>
      <c r="AF367" s="6">
        <f ca="1">$M$367*$Z$367</f>
        <v>11387.900661687328</v>
      </c>
      <c r="AG367" s="6">
        <f>$O$367*$AA$367</f>
        <v>3657.2902781183316</v>
      </c>
    </row>
    <row r="368" spans="1:33" ht="11.25" customHeight="1" x14ac:dyDescent="0.3">
      <c r="A368" s="4" t="s">
        <v>21</v>
      </c>
      <c r="B368" s="4" t="s">
        <v>35</v>
      </c>
      <c r="C368" s="4" t="s">
        <v>23</v>
      </c>
      <c r="D368" s="4" t="s">
        <v>45</v>
      </c>
      <c r="E368" s="4" t="s">
        <v>25</v>
      </c>
      <c r="F368" s="4" t="s">
        <v>25</v>
      </c>
      <c r="G368" s="4" t="s">
        <v>25</v>
      </c>
      <c r="H368" s="4" t="s">
        <v>25</v>
      </c>
      <c r="I368" s="5">
        <v>44713</v>
      </c>
      <c r="J368" s="6">
        <v>0</v>
      </c>
      <c r="K368" s="6">
        <v>0</v>
      </c>
      <c r="L368" s="6">
        <v>23.603999999999999</v>
      </c>
      <c r="M368" s="6">
        <v>23.603999999999999</v>
      </c>
      <c r="N368" s="6">
        <v>23.603999999999999</v>
      </c>
      <c r="O368" s="6">
        <v>23.603999999999999</v>
      </c>
      <c r="P368" s="6">
        <v>92</v>
      </c>
      <c r="Q368" s="4" t="s">
        <v>26</v>
      </c>
      <c r="R368" s="4">
        <v>0</v>
      </c>
      <c r="S368" s="6">
        <v>0</v>
      </c>
      <c r="T368" s="6">
        <v>67</v>
      </c>
      <c r="U368" s="6">
        <v>39</v>
      </c>
      <c r="V368" s="6">
        <f>IF(ISERROR(VLOOKUP($S$368,'TAR FIN'!$A$1:$O$85,15,0)),0,VLOOKUP($S$368,'TAR FIN'!$A$1:$O$85,15,0))</f>
        <v>0</v>
      </c>
      <c r="W368" s="6">
        <f>IF(ISERROR(VLOOKUP($T$368,'TAR FIN'!$A$1:$O$85,15,0)),0,VLOOKUP($T$368,'TAR FIN'!$A$1:$O$85,15,0))</f>
        <v>442.96</v>
      </c>
      <c r="X368" s="6">
        <f>IF(ISERROR(VLOOKUP($U$368,'TAR FIN'!$A$1:$O$85,15,0)),0,VLOOKUP($U$368,'TAR FIN'!$A$1:$O$85,15,0))</f>
        <v>185.74</v>
      </c>
      <c r="Y368" s="6"/>
      <c r="Z368" s="6">
        <f ca="1">('TUSD BE'!$AM$48+'TUSD BF'!$AM$48+'TUSD CVA'!$AM$48)*1</f>
        <v>519.26043781347539</v>
      </c>
      <c r="AA368" s="6">
        <f>('TE BE'!$AB$39+'TE BF'!$AB$39+'TE CVA'!$AB$39)*1</f>
        <v>166.7634981586946</v>
      </c>
      <c r="AB368" s="6">
        <f>$K$368*$V$368</f>
        <v>0</v>
      </c>
      <c r="AC368" s="6">
        <f>$M$368*$W$368</f>
        <v>10455.627839999999</v>
      </c>
      <c r="AD368" s="6">
        <f>$O$368*$X$368</f>
        <v>4384.2069600000004</v>
      </c>
      <c r="AE368" s="6">
        <f>$K$368*$Y$368</f>
        <v>0</v>
      </c>
      <c r="AF368" s="6">
        <f ca="1">$M$368*$Z$368</f>
        <v>12256.623374149272</v>
      </c>
      <c r="AG368" s="6">
        <f>$O$368*$AA$368</f>
        <v>3936.2856105378273</v>
      </c>
    </row>
    <row r="369" spans="1:33" ht="11.25" customHeight="1" x14ac:dyDescent="0.3">
      <c r="A369" s="4" t="s">
        <v>21</v>
      </c>
      <c r="B369" s="4" t="s">
        <v>35</v>
      </c>
      <c r="C369" s="4" t="s">
        <v>23</v>
      </c>
      <c r="D369" s="4" t="s">
        <v>45</v>
      </c>
      <c r="E369" s="4" t="s">
        <v>25</v>
      </c>
      <c r="F369" s="4" t="s">
        <v>25</v>
      </c>
      <c r="G369" s="4" t="s">
        <v>25</v>
      </c>
      <c r="H369" s="4" t="s">
        <v>25</v>
      </c>
      <c r="I369" s="5">
        <v>44743</v>
      </c>
      <c r="J369" s="6">
        <v>0</v>
      </c>
      <c r="K369" s="6">
        <v>0</v>
      </c>
      <c r="L369" s="6">
        <v>21.2</v>
      </c>
      <c r="M369" s="6">
        <v>21.2</v>
      </c>
      <c r="N369" s="6">
        <v>21.2</v>
      </c>
      <c r="O369" s="6">
        <v>21.2</v>
      </c>
      <c r="P369" s="6">
        <v>92</v>
      </c>
      <c r="Q369" s="4" t="s">
        <v>26</v>
      </c>
      <c r="R369" s="4">
        <v>0</v>
      </c>
      <c r="S369" s="6">
        <v>0</v>
      </c>
      <c r="T369" s="6">
        <v>67</v>
      </c>
      <c r="U369" s="6">
        <v>39</v>
      </c>
      <c r="V369" s="6">
        <f>IF(ISERROR(VLOOKUP($S$369,'TAR FIN'!$A$1:$O$85,15,0)),0,VLOOKUP($S$369,'TAR FIN'!$A$1:$O$85,15,0))</f>
        <v>0</v>
      </c>
      <c r="W369" s="6">
        <f>IF(ISERROR(VLOOKUP($T$369,'TAR FIN'!$A$1:$O$85,15,0)),0,VLOOKUP($T$369,'TAR FIN'!$A$1:$O$85,15,0))</f>
        <v>442.96</v>
      </c>
      <c r="X369" s="6">
        <f>IF(ISERROR(VLOOKUP($U$369,'TAR FIN'!$A$1:$O$85,15,0)),0,VLOOKUP($U$369,'TAR FIN'!$A$1:$O$85,15,0))</f>
        <v>185.74</v>
      </c>
      <c r="Y369" s="6"/>
      <c r="Z369" s="6">
        <f ca="1">('TUSD BE'!$AM$48+'TUSD BF'!$AM$48+'TUSD CVA'!$AM$48)*1</f>
        <v>519.26043781347539</v>
      </c>
      <c r="AA369" s="6">
        <f>('TE BE'!$AB$39+'TE BF'!$AB$39+'TE CVA'!$AB$39)*1</f>
        <v>166.7634981586946</v>
      </c>
      <c r="AB369" s="6">
        <f>$K$369*$V$369</f>
        <v>0</v>
      </c>
      <c r="AC369" s="6">
        <f>$M$369*$W$369</f>
        <v>9390.7519999999986</v>
      </c>
      <c r="AD369" s="6">
        <f>$O$369*$X$369</f>
        <v>3937.6880000000001</v>
      </c>
      <c r="AE369" s="6">
        <f>$K$369*$Y$369</f>
        <v>0</v>
      </c>
      <c r="AF369" s="6">
        <f ca="1">$M$369*$Z$369</f>
        <v>11008.321281645678</v>
      </c>
      <c r="AG369" s="6">
        <f>$O$369*$AA$369</f>
        <v>3535.3861609643254</v>
      </c>
    </row>
    <row r="370" spans="1:33" ht="11.25" customHeight="1" x14ac:dyDescent="0.3">
      <c r="A370" s="4" t="s">
        <v>21</v>
      </c>
      <c r="B370" s="4" t="s">
        <v>35</v>
      </c>
      <c r="C370" s="4" t="s">
        <v>23</v>
      </c>
      <c r="D370" s="4" t="s">
        <v>45</v>
      </c>
      <c r="E370" s="4" t="s">
        <v>25</v>
      </c>
      <c r="F370" s="4" t="s">
        <v>25</v>
      </c>
      <c r="G370" s="4" t="s">
        <v>25</v>
      </c>
      <c r="H370" s="4" t="s">
        <v>25</v>
      </c>
      <c r="I370" s="5">
        <v>44774</v>
      </c>
      <c r="J370" s="6">
        <v>0</v>
      </c>
      <c r="K370" s="6">
        <v>0</v>
      </c>
      <c r="L370" s="6">
        <v>21.1</v>
      </c>
      <c r="M370" s="6">
        <v>21.1</v>
      </c>
      <c r="N370" s="6">
        <v>21.1</v>
      </c>
      <c r="O370" s="6">
        <v>21.1</v>
      </c>
      <c r="P370" s="6">
        <v>92</v>
      </c>
      <c r="Q370" s="4" t="s">
        <v>26</v>
      </c>
      <c r="R370" s="4">
        <v>0</v>
      </c>
      <c r="S370" s="6">
        <v>0</v>
      </c>
      <c r="T370" s="6">
        <v>67</v>
      </c>
      <c r="U370" s="6">
        <v>39</v>
      </c>
      <c r="V370" s="6">
        <f>IF(ISERROR(VLOOKUP($S$370,'TAR FIN'!$A$1:$O$85,15,0)),0,VLOOKUP($S$370,'TAR FIN'!$A$1:$O$85,15,0))</f>
        <v>0</v>
      </c>
      <c r="W370" s="6">
        <f>IF(ISERROR(VLOOKUP($T$370,'TAR FIN'!$A$1:$O$85,15,0)),0,VLOOKUP($T$370,'TAR FIN'!$A$1:$O$85,15,0))</f>
        <v>442.96</v>
      </c>
      <c r="X370" s="6">
        <f>IF(ISERROR(VLOOKUP($U$370,'TAR FIN'!$A$1:$O$85,15,0)),0,VLOOKUP($U$370,'TAR FIN'!$A$1:$O$85,15,0))</f>
        <v>185.74</v>
      </c>
      <c r="Y370" s="6"/>
      <c r="Z370" s="6">
        <f ca="1">('TUSD BE'!$AM$48+'TUSD BF'!$AM$48+'TUSD CVA'!$AM$48)*1</f>
        <v>519.26043781347539</v>
      </c>
      <c r="AA370" s="6">
        <f>('TE BE'!$AB$39+'TE BF'!$AB$39+'TE CVA'!$AB$39)*1</f>
        <v>166.7634981586946</v>
      </c>
      <c r="AB370" s="6">
        <f>$K$370*$V$370</f>
        <v>0</v>
      </c>
      <c r="AC370" s="6">
        <f>$M$370*$W$370</f>
        <v>9346.4560000000001</v>
      </c>
      <c r="AD370" s="6">
        <f>$O$370*$X$370</f>
        <v>3919.1140000000005</v>
      </c>
      <c r="AE370" s="6">
        <f>$K$370*$Y$370</f>
        <v>0</v>
      </c>
      <c r="AF370" s="6">
        <f ca="1">$M$370*$Z$370</f>
        <v>10956.395237864332</v>
      </c>
      <c r="AG370" s="6">
        <f>$O$370*$AA$370</f>
        <v>3518.7098111484565</v>
      </c>
    </row>
    <row r="371" spans="1:33" ht="11.25" customHeight="1" x14ac:dyDescent="0.3">
      <c r="A371" s="4" t="s">
        <v>21</v>
      </c>
      <c r="B371" s="4" t="s">
        <v>35</v>
      </c>
      <c r="C371" s="4" t="s">
        <v>23</v>
      </c>
      <c r="D371" s="4" t="s">
        <v>50</v>
      </c>
      <c r="E371" s="4" t="s">
        <v>51</v>
      </c>
      <c r="F371" s="4" t="s">
        <v>25</v>
      </c>
      <c r="G371" s="4" t="s">
        <v>25</v>
      </c>
      <c r="H371" s="4" t="s">
        <v>25</v>
      </c>
      <c r="I371" s="5">
        <v>44440</v>
      </c>
      <c r="J371" s="6">
        <v>0</v>
      </c>
      <c r="K371" s="52">
        <v>0</v>
      </c>
      <c r="L371" s="6">
        <v>8.86</v>
      </c>
      <c r="M371" s="52">
        <v>8.86</v>
      </c>
      <c r="N371" s="6">
        <v>8.86</v>
      </c>
      <c r="O371" s="52">
        <v>8.86</v>
      </c>
      <c r="P371" s="6">
        <v>5</v>
      </c>
      <c r="Q371" s="4" t="s">
        <v>26</v>
      </c>
      <c r="R371" s="4">
        <v>0</v>
      </c>
      <c r="S371" s="6">
        <v>0</v>
      </c>
      <c r="T371" s="6">
        <v>67</v>
      </c>
      <c r="U371" s="6">
        <v>39</v>
      </c>
      <c r="V371" s="52">
        <f>IF(ISERROR(VLOOKUP($S$371,'TAR FIN'!$A$1:$O$85,15,0)),0,VLOOKUP($S$371,'TAR FIN'!$A$1:$O$85,15,0))</f>
        <v>0</v>
      </c>
      <c r="W371" s="52">
        <f>IF(ISERROR(VLOOKUP($T$371,'TAR FIN'!$A$1:$O$85,15,0)),0,VLOOKUP($T$371,'TAR FIN'!$A$1:$O$85,15,0))*(1-0.06)</f>
        <v>416.38239999999996</v>
      </c>
      <c r="X371" s="52">
        <f>IF(ISERROR(VLOOKUP($U$371,'TAR FIN'!$A$1:$O$85,15,0)),0,VLOOKUP($U$371,'TAR FIN'!$A$1:$O$85,15,0))*(1-0.06)</f>
        <v>174.59559999999999</v>
      </c>
      <c r="Y371" s="52"/>
      <c r="Z371" s="52">
        <f ca="1">('TUSD BE'!$AM$48+'TUSD BF'!$AM$48+'TUSD CVA'!$AM$48)*1*(1-0.03)</f>
        <v>503.68262467907113</v>
      </c>
      <c r="AA371" s="52">
        <f>('TE BE'!$AB$39+'TE BF'!$AB$39+'TE CVA'!$AB$39)*1*(1-0.03)</f>
        <v>161.76059321393376</v>
      </c>
      <c r="AB371" s="6">
        <f>$K$371*$V$371</f>
        <v>0</v>
      </c>
      <c r="AC371" s="6">
        <f>$M$371*$W$371</f>
        <v>3689.1480639999995</v>
      </c>
      <c r="AD371" s="6">
        <f>$O$371*$X$371</f>
        <v>1546.9170159999999</v>
      </c>
      <c r="AE371" s="6">
        <f>$K$371*$Y$371</f>
        <v>0</v>
      </c>
      <c r="AF371" s="6">
        <f ca="1">$M$371*$Z$371</f>
        <v>4462.6280546565695</v>
      </c>
      <c r="AG371" s="6">
        <f>$O$371*$AA$371</f>
        <v>1433.1988558754531</v>
      </c>
    </row>
    <row r="372" spans="1:33" ht="11.25" customHeight="1" x14ac:dyDescent="0.3">
      <c r="A372" s="4" t="s">
        <v>21</v>
      </c>
      <c r="B372" s="4" t="s">
        <v>35</v>
      </c>
      <c r="C372" s="4" t="s">
        <v>23</v>
      </c>
      <c r="D372" s="4" t="s">
        <v>50</v>
      </c>
      <c r="E372" s="4" t="s">
        <v>51</v>
      </c>
      <c r="F372" s="4" t="s">
        <v>25</v>
      </c>
      <c r="G372" s="4" t="s">
        <v>25</v>
      </c>
      <c r="H372" s="4" t="s">
        <v>25</v>
      </c>
      <c r="I372" s="5">
        <v>44470</v>
      </c>
      <c r="J372" s="6">
        <v>0</v>
      </c>
      <c r="K372" s="52">
        <v>0</v>
      </c>
      <c r="L372" s="6">
        <v>8.4420000000000002</v>
      </c>
      <c r="M372" s="52">
        <v>8.4420000000000002</v>
      </c>
      <c r="N372" s="6">
        <v>8.4420000000000002</v>
      </c>
      <c r="O372" s="52">
        <v>8.4420000000000002</v>
      </c>
      <c r="P372" s="6">
        <v>5</v>
      </c>
      <c r="Q372" s="4" t="s">
        <v>26</v>
      </c>
      <c r="R372" s="4">
        <v>0</v>
      </c>
      <c r="S372" s="6">
        <v>0</v>
      </c>
      <c r="T372" s="6">
        <v>67</v>
      </c>
      <c r="U372" s="6">
        <v>39</v>
      </c>
      <c r="V372" s="52">
        <f>IF(ISERROR(VLOOKUP($S$372,'TAR FIN'!$A$1:$O$85,15,0)),0,VLOOKUP($S$372,'TAR FIN'!$A$1:$O$85,15,0))</f>
        <v>0</v>
      </c>
      <c r="W372" s="52">
        <f>IF(ISERROR(VLOOKUP($T$372,'TAR FIN'!$A$1:$O$85,15,0)),0,VLOOKUP($T$372,'TAR FIN'!$A$1:$O$85,15,0))*(1-0.06)</f>
        <v>416.38239999999996</v>
      </c>
      <c r="X372" s="52">
        <f>IF(ISERROR(VLOOKUP($U$372,'TAR FIN'!$A$1:$O$85,15,0)),0,VLOOKUP($U$372,'TAR FIN'!$A$1:$O$85,15,0))*(1-0.06)</f>
        <v>174.59559999999999</v>
      </c>
      <c r="Y372" s="52"/>
      <c r="Z372" s="52">
        <f ca="1">('TUSD BE'!$AM$48+'TUSD BF'!$AM$48+'TUSD CVA'!$AM$48)*1*(1-0.03)</f>
        <v>503.68262467907113</v>
      </c>
      <c r="AA372" s="52">
        <f>('TE BE'!$AB$39+'TE BF'!$AB$39+'TE CVA'!$AB$39)*1*(1-0.03)</f>
        <v>161.76059321393376</v>
      </c>
      <c r="AB372" s="6">
        <f>$K$372*$V$372</f>
        <v>0</v>
      </c>
      <c r="AC372" s="6">
        <f>$M$372*$W$372</f>
        <v>3515.1002207999995</v>
      </c>
      <c r="AD372" s="6">
        <f>$O$372*$X$372</f>
        <v>1473.9360552000001</v>
      </c>
      <c r="AE372" s="6">
        <f>$K$372*$Y$372</f>
        <v>0</v>
      </c>
      <c r="AF372" s="6">
        <f ca="1">$M$372*$Z$372</f>
        <v>4252.0887175407188</v>
      </c>
      <c r="AG372" s="6">
        <f>$O$372*$AA$372</f>
        <v>1365.5829279120289</v>
      </c>
    </row>
    <row r="373" spans="1:33" ht="11.25" customHeight="1" x14ac:dyDescent="0.3">
      <c r="A373" s="4" t="s">
        <v>21</v>
      </c>
      <c r="B373" s="4" t="s">
        <v>35</v>
      </c>
      <c r="C373" s="4" t="s">
        <v>23</v>
      </c>
      <c r="D373" s="4" t="s">
        <v>50</v>
      </c>
      <c r="E373" s="4" t="s">
        <v>51</v>
      </c>
      <c r="F373" s="4" t="s">
        <v>25</v>
      </c>
      <c r="G373" s="4" t="s">
        <v>25</v>
      </c>
      <c r="H373" s="4" t="s">
        <v>25</v>
      </c>
      <c r="I373" s="5">
        <v>44501</v>
      </c>
      <c r="J373" s="6">
        <v>0</v>
      </c>
      <c r="K373" s="52">
        <v>0</v>
      </c>
      <c r="L373" s="6">
        <v>7.4219999999999997</v>
      </c>
      <c r="M373" s="52">
        <v>7.4219999999999997</v>
      </c>
      <c r="N373" s="6">
        <v>7.4219999999999997</v>
      </c>
      <c r="O373" s="52">
        <v>7.4219999999999997</v>
      </c>
      <c r="P373" s="6">
        <v>5</v>
      </c>
      <c r="Q373" s="4" t="s">
        <v>26</v>
      </c>
      <c r="R373" s="4">
        <v>0</v>
      </c>
      <c r="S373" s="6">
        <v>0</v>
      </c>
      <c r="T373" s="6">
        <v>67</v>
      </c>
      <c r="U373" s="6">
        <v>39</v>
      </c>
      <c r="V373" s="52">
        <f>IF(ISERROR(VLOOKUP($S$373,'TAR FIN'!$A$1:$O$85,15,0)),0,VLOOKUP($S$373,'TAR FIN'!$A$1:$O$85,15,0))</f>
        <v>0</v>
      </c>
      <c r="W373" s="52">
        <f>IF(ISERROR(VLOOKUP($T$373,'TAR FIN'!$A$1:$O$85,15,0)),0,VLOOKUP($T$373,'TAR FIN'!$A$1:$O$85,15,0))*(1-0.06)</f>
        <v>416.38239999999996</v>
      </c>
      <c r="X373" s="52">
        <f>IF(ISERROR(VLOOKUP($U$373,'TAR FIN'!$A$1:$O$85,15,0)),0,VLOOKUP($U$373,'TAR FIN'!$A$1:$O$85,15,0))*(1-0.06)</f>
        <v>174.59559999999999</v>
      </c>
      <c r="Y373" s="52"/>
      <c r="Z373" s="52">
        <f ca="1">('TUSD BE'!$AM$48+'TUSD BF'!$AM$48+'TUSD CVA'!$AM$48)*1*(1-0.03)</f>
        <v>503.68262467907113</v>
      </c>
      <c r="AA373" s="52">
        <f>('TE BE'!$AB$39+'TE BF'!$AB$39+'TE CVA'!$AB$39)*1*(1-0.03)</f>
        <v>161.76059321393376</v>
      </c>
      <c r="AB373" s="6">
        <f>$K$373*$V$373</f>
        <v>0</v>
      </c>
      <c r="AC373" s="6">
        <f>$M$373*$W$373</f>
        <v>3090.3901727999996</v>
      </c>
      <c r="AD373" s="6">
        <f>$O$373*$X$373</f>
        <v>1295.8485431999998</v>
      </c>
      <c r="AE373" s="6">
        <f>$K$373*$Y$373</f>
        <v>0</v>
      </c>
      <c r="AF373" s="6">
        <f ca="1">$M$373*$Z$373</f>
        <v>3738.3324403680658</v>
      </c>
      <c r="AG373" s="6">
        <f>$O$373*$AA$373</f>
        <v>1200.5871228338162</v>
      </c>
    </row>
    <row r="374" spans="1:33" ht="11.25" customHeight="1" x14ac:dyDescent="0.3">
      <c r="A374" s="4" t="s">
        <v>21</v>
      </c>
      <c r="B374" s="4" t="s">
        <v>35</v>
      </c>
      <c r="C374" s="4" t="s">
        <v>23</v>
      </c>
      <c r="D374" s="4" t="s">
        <v>50</v>
      </c>
      <c r="E374" s="4" t="s">
        <v>51</v>
      </c>
      <c r="F374" s="4" t="s">
        <v>25</v>
      </c>
      <c r="G374" s="4" t="s">
        <v>25</v>
      </c>
      <c r="H374" s="4" t="s">
        <v>25</v>
      </c>
      <c r="I374" s="5">
        <v>44531</v>
      </c>
      <c r="J374" s="6">
        <v>0</v>
      </c>
      <c r="K374" s="52">
        <v>0</v>
      </c>
      <c r="L374" s="6">
        <v>6.89</v>
      </c>
      <c r="M374" s="52">
        <v>6.89</v>
      </c>
      <c r="N374" s="6">
        <v>6.89</v>
      </c>
      <c r="O374" s="52">
        <v>6.89</v>
      </c>
      <c r="P374" s="6">
        <v>5</v>
      </c>
      <c r="Q374" s="4" t="s">
        <v>26</v>
      </c>
      <c r="R374" s="4">
        <v>0</v>
      </c>
      <c r="S374" s="6">
        <v>0</v>
      </c>
      <c r="T374" s="6">
        <v>67</v>
      </c>
      <c r="U374" s="6">
        <v>39</v>
      </c>
      <c r="V374" s="52">
        <f>IF(ISERROR(VLOOKUP($S$374,'TAR FIN'!$A$1:$O$85,15,0)),0,VLOOKUP($S$374,'TAR FIN'!$A$1:$O$85,15,0))</f>
        <v>0</v>
      </c>
      <c r="W374" s="52">
        <f>IF(ISERROR(VLOOKUP($T$374,'TAR FIN'!$A$1:$O$85,15,0)),0,VLOOKUP($T$374,'TAR FIN'!$A$1:$O$85,15,0))*(1-0.06)</f>
        <v>416.38239999999996</v>
      </c>
      <c r="X374" s="52">
        <f>IF(ISERROR(VLOOKUP($U$374,'TAR FIN'!$A$1:$O$85,15,0)),0,VLOOKUP($U$374,'TAR FIN'!$A$1:$O$85,15,0))*(1-0.06)</f>
        <v>174.59559999999999</v>
      </c>
      <c r="Y374" s="52"/>
      <c r="Z374" s="52">
        <f ca="1">('TUSD BE'!$AM$48+'TUSD BF'!$AM$48+'TUSD CVA'!$AM$48)*1*(1-0.03)</f>
        <v>503.68262467907113</v>
      </c>
      <c r="AA374" s="52">
        <f>('TE BE'!$AB$39+'TE BF'!$AB$39+'TE CVA'!$AB$39)*1*(1-0.03)</f>
        <v>161.76059321393376</v>
      </c>
      <c r="AB374" s="6">
        <f>$K$374*$V$374</f>
        <v>0</v>
      </c>
      <c r="AC374" s="6">
        <f>$M$374*$W$374</f>
        <v>2868.8747359999998</v>
      </c>
      <c r="AD374" s="6">
        <f>$O$374*$X$374</f>
        <v>1202.9636839999998</v>
      </c>
      <c r="AE374" s="6">
        <f>$K$374*$Y$374</f>
        <v>0</v>
      </c>
      <c r="AF374" s="6">
        <f ca="1">$M$374*$Z$374</f>
        <v>3470.3732840387997</v>
      </c>
      <c r="AG374" s="6">
        <f>$O$374*$AA$374</f>
        <v>1114.5304872440036</v>
      </c>
    </row>
    <row r="375" spans="1:33" ht="11.25" customHeight="1" x14ac:dyDescent="0.3">
      <c r="A375" s="4" t="s">
        <v>21</v>
      </c>
      <c r="B375" s="4" t="s">
        <v>35</v>
      </c>
      <c r="C375" s="4" t="s">
        <v>23</v>
      </c>
      <c r="D375" s="4" t="s">
        <v>50</v>
      </c>
      <c r="E375" s="4" t="s">
        <v>51</v>
      </c>
      <c r="F375" s="4" t="s">
        <v>25</v>
      </c>
      <c r="G375" s="4" t="s">
        <v>25</v>
      </c>
      <c r="H375" s="4" t="s">
        <v>25</v>
      </c>
      <c r="I375" s="5">
        <v>44562</v>
      </c>
      <c r="J375" s="6">
        <v>0</v>
      </c>
      <c r="K375" s="52">
        <v>0</v>
      </c>
      <c r="L375" s="6">
        <v>6.3129999999999997</v>
      </c>
      <c r="M375" s="52">
        <v>6.3129999999999997</v>
      </c>
      <c r="N375" s="6">
        <v>6.3129999999999997</v>
      </c>
      <c r="O375" s="52">
        <v>6.3129999999999997</v>
      </c>
      <c r="P375" s="6">
        <v>5</v>
      </c>
      <c r="Q375" s="4" t="s">
        <v>26</v>
      </c>
      <c r="R375" s="4">
        <v>0</v>
      </c>
      <c r="S375" s="6">
        <v>0</v>
      </c>
      <c r="T375" s="6">
        <v>67</v>
      </c>
      <c r="U375" s="6">
        <v>39</v>
      </c>
      <c r="V375" s="52">
        <f>IF(ISERROR(VLOOKUP($S$375,'TAR FIN'!$A$1:$O$85,15,0)),0,VLOOKUP($S$375,'TAR FIN'!$A$1:$O$85,15,0))</f>
        <v>0</v>
      </c>
      <c r="W375" s="52">
        <f>IF(ISERROR(VLOOKUP($T$375,'TAR FIN'!$A$1:$O$85,15,0)),0,VLOOKUP($T$375,'TAR FIN'!$A$1:$O$85,15,0))*(1-0.06)</f>
        <v>416.38239999999996</v>
      </c>
      <c r="X375" s="52">
        <f>IF(ISERROR(VLOOKUP($U$375,'TAR FIN'!$A$1:$O$85,15,0)),0,VLOOKUP($U$375,'TAR FIN'!$A$1:$O$85,15,0))*(1-0.06)</f>
        <v>174.59559999999999</v>
      </c>
      <c r="Y375" s="52"/>
      <c r="Z375" s="52">
        <f ca="1">('TUSD BE'!$AM$48+'TUSD BF'!$AM$48+'TUSD CVA'!$AM$48)*1*(1-0.03)</f>
        <v>503.68262467907113</v>
      </c>
      <c r="AA375" s="52">
        <f>('TE BE'!$AB$39+'TE BF'!$AB$39+'TE CVA'!$AB$39)*1*(1-0.03)</f>
        <v>161.76059321393376</v>
      </c>
      <c r="AB375" s="6">
        <f>$K$375*$V$375</f>
        <v>0</v>
      </c>
      <c r="AC375" s="6">
        <f>$M$375*$W$375</f>
        <v>2628.6220911999994</v>
      </c>
      <c r="AD375" s="6">
        <f>$O$375*$X$375</f>
        <v>1102.2220227999999</v>
      </c>
      <c r="AE375" s="6">
        <f>$K$375*$Y$375</f>
        <v>0</v>
      </c>
      <c r="AF375" s="6">
        <f ca="1">$M$375*$Z$375</f>
        <v>3179.7484095989757</v>
      </c>
      <c r="AG375" s="6">
        <f>$O$375*$AA$375</f>
        <v>1021.1946249595637</v>
      </c>
    </row>
    <row r="376" spans="1:33" ht="11.25" customHeight="1" x14ac:dyDescent="0.3">
      <c r="A376" s="4" t="s">
        <v>21</v>
      </c>
      <c r="B376" s="4" t="s">
        <v>35</v>
      </c>
      <c r="C376" s="4" t="s">
        <v>23</v>
      </c>
      <c r="D376" s="4" t="s">
        <v>50</v>
      </c>
      <c r="E376" s="4" t="s">
        <v>51</v>
      </c>
      <c r="F376" s="4" t="s">
        <v>25</v>
      </c>
      <c r="G376" s="4" t="s">
        <v>25</v>
      </c>
      <c r="H376" s="4" t="s">
        <v>25</v>
      </c>
      <c r="I376" s="5">
        <v>44593</v>
      </c>
      <c r="J376" s="6">
        <v>0</v>
      </c>
      <c r="K376" s="52">
        <v>0</v>
      </c>
      <c r="L376" s="6">
        <v>4.319</v>
      </c>
      <c r="M376" s="52">
        <v>4.319</v>
      </c>
      <c r="N376" s="6">
        <v>4.319</v>
      </c>
      <c r="O376" s="52">
        <v>4.319</v>
      </c>
      <c r="P376" s="6">
        <v>5</v>
      </c>
      <c r="Q376" s="4" t="s">
        <v>26</v>
      </c>
      <c r="R376" s="4">
        <v>0</v>
      </c>
      <c r="S376" s="6">
        <v>0</v>
      </c>
      <c r="T376" s="6">
        <v>67</v>
      </c>
      <c r="U376" s="6">
        <v>39</v>
      </c>
      <c r="V376" s="52">
        <f>IF(ISERROR(VLOOKUP($S$376,'TAR FIN'!$A$1:$O$85,15,0)),0,VLOOKUP($S$376,'TAR FIN'!$A$1:$O$85,15,0))</f>
        <v>0</v>
      </c>
      <c r="W376" s="52">
        <f>IF(ISERROR(VLOOKUP($T$376,'TAR FIN'!$A$1:$O$85,15,0)),0,VLOOKUP($T$376,'TAR FIN'!$A$1:$O$85,15,0))*(1-0.06)</f>
        <v>416.38239999999996</v>
      </c>
      <c r="X376" s="52">
        <f>IF(ISERROR(VLOOKUP($U$376,'TAR FIN'!$A$1:$O$85,15,0)),0,VLOOKUP($U$376,'TAR FIN'!$A$1:$O$85,15,0))*(1-0.06)</f>
        <v>174.59559999999999</v>
      </c>
      <c r="Y376" s="52"/>
      <c r="Z376" s="52">
        <f ca="1">('TUSD BE'!$AM$48+'TUSD BF'!$AM$48+'TUSD CVA'!$AM$48)*1*(1-0.03)</f>
        <v>503.68262467907113</v>
      </c>
      <c r="AA376" s="52">
        <f>('TE BE'!$AB$39+'TE BF'!$AB$39+'TE CVA'!$AB$39)*1*(1-0.03)</f>
        <v>161.76059321393376</v>
      </c>
      <c r="AB376" s="6">
        <f>$K$376*$V$376</f>
        <v>0</v>
      </c>
      <c r="AC376" s="6">
        <f>$M$376*$W$376</f>
        <v>1798.3555855999998</v>
      </c>
      <c r="AD376" s="6">
        <f>$O$376*$X$376</f>
        <v>754.07839639999997</v>
      </c>
      <c r="AE376" s="6">
        <f>$K$376*$Y$376</f>
        <v>0</v>
      </c>
      <c r="AF376" s="6">
        <f ca="1">$M$376*$Z$376</f>
        <v>2175.4052559889083</v>
      </c>
      <c r="AG376" s="6">
        <f>$O$376*$AA$376</f>
        <v>698.64400209097994</v>
      </c>
    </row>
    <row r="377" spans="1:33" ht="11.25" customHeight="1" x14ac:dyDescent="0.3">
      <c r="A377" s="4" t="s">
        <v>21</v>
      </c>
      <c r="B377" s="4" t="s">
        <v>35</v>
      </c>
      <c r="C377" s="4" t="s">
        <v>23</v>
      </c>
      <c r="D377" s="4" t="s">
        <v>50</v>
      </c>
      <c r="E377" s="4" t="s">
        <v>51</v>
      </c>
      <c r="F377" s="4" t="s">
        <v>25</v>
      </c>
      <c r="G377" s="4" t="s">
        <v>25</v>
      </c>
      <c r="H377" s="4" t="s">
        <v>25</v>
      </c>
      <c r="I377" s="5">
        <v>44621</v>
      </c>
      <c r="J377" s="6">
        <v>0</v>
      </c>
      <c r="K377" s="52">
        <v>0</v>
      </c>
      <c r="L377" s="6">
        <v>3.2589999999999999</v>
      </c>
      <c r="M377" s="52">
        <v>3.2589999999999999</v>
      </c>
      <c r="N377" s="6">
        <v>3.2589999999999999</v>
      </c>
      <c r="O377" s="52">
        <v>3.2589999999999999</v>
      </c>
      <c r="P377" s="6">
        <v>5</v>
      </c>
      <c r="Q377" s="4" t="s">
        <v>26</v>
      </c>
      <c r="R377" s="4">
        <v>0</v>
      </c>
      <c r="S377" s="6">
        <v>0</v>
      </c>
      <c r="T377" s="6">
        <v>67</v>
      </c>
      <c r="U377" s="6">
        <v>39</v>
      </c>
      <c r="V377" s="52">
        <f>IF(ISERROR(VLOOKUP($S$377,'TAR FIN'!$A$1:$O$85,15,0)),0,VLOOKUP($S$377,'TAR FIN'!$A$1:$O$85,15,0))</f>
        <v>0</v>
      </c>
      <c r="W377" s="52">
        <f>IF(ISERROR(VLOOKUP($T$377,'TAR FIN'!$A$1:$O$85,15,0)),0,VLOOKUP($T$377,'TAR FIN'!$A$1:$O$85,15,0))*(1-0.06)</f>
        <v>416.38239999999996</v>
      </c>
      <c r="X377" s="52">
        <f>IF(ISERROR(VLOOKUP($U$377,'TAR FIN'!$A$1:$O$85,15,0)),0,VLOOKUP($U$377,'TAR FIN'!$A$1:$O$85,15,0))*(1-0.06)</f>
        <v>174.59559999999999</v>
      </c>
      <c r="Y377" s="52"/>
      <c r="Z377" s="52">
        <f ca="1">('TUSD BE'!$AM$48+'TUSD BF'!$AM$48+'TUSD CVA'!$AM$48)*1*(1-0.03)</f>
        <v>503.68262467907113</v>
      </c>
      <c r="AA377" s="52">
        <f>('TE BE'!$AB$39+'TE BF'!$AB$39+'TE CVA'!$AB$39)*1*(1-0.03)</f>
        <v>161.76059321393376</v>
      </c>
      <c r="AB377" s="6">
        <f>$K$377*$V$377</f>
        <v>0</v>
      </c>
      <c r="AC377" s="6">
        <f>$M$377*$W$377</f>
        <v>1356.9902415999998</v>
      </c>
      <c r="AD377" s="6">
        <f>$O$377*$X$377</f>
        <v>569.0070604</v>
      </c>
      <c r="AE377" s="6">
        <f>$K$377*$Y$377</f>
        <v>0</v>
      </c>
      <c r="AF377" s="6">
        <f ca="1">$M$377*$Z$377</f>
        <v>1641.5016738290929</v>
      </c>
      <c r="AG377" s="6">
        <f>$O$377*$AA$377</f>
        <v>527.17777328421016</v>
      </c>
    </row>
    <row r="378" spans="1:33" ht="11.25" customHeight="1" x14ac:dyDescent="0.3">
      <c r="A378" s="4" t="s">
        <v>21</v>
      </c>
      <c r="B378" s="4" t="s">
        <v>35</v>
      </c>
      <c r="C378" s="4" t="s">
        <v>23</v>
      </c>
      <c r="D378" s="4" t="s">
        <v>50</v>
      </c>
      <c r="E378" s="4" t="s">
        <v>51</v>
      </c>
      <c r="F378" s="4" t="s">
        <v>25</v>
      </c>
      <c r="G378" s="4" t="s">
        <v>25</v>
      </c>
      <c r="H378" s="4" t="s">
        <v>25</v>
      </c>
      <c r="I378" s="5">
        <v>44652</v>
      </c>
      <c r="J378" s="6">
        <v>0</v>
      </c>
      <c r="K378" s="52">
        <v>0</v>
      </c>
      <c r="L378" s="6">
        <v>3.5129999999999999</v>
      </c>
      <c r="M378" s="52">
        <v>3.5129999999999999</v>
      </c>
      <c r="N378" s="6">
        <v>3.5129999999999999</v>
      </c>
      <c r="O378" s="52">
        <v>3.5129999999999999</v>
      </c>
      <c r="P378" s="6">
        <v>5</v>
      </c>
      <c r="Q378" s="4" t="s">
        <v>26</v>
      </c>
      <c r="R378" s="4">
        <v>0</v>
      </c>
      <c r="S378" s="6">
        <v>0</v>
      </c>
      <c r="T378" s="6">
        <v>67</v>
      </c>
      <c r="U378" s="6">
        <v>39</v>
      </c>
      <c r="V378" s="52">
        <f>IF(ISERROR(VLOOKUP($S$378,'TAR FIN'!$A$1:$O$85,15,0)),0,VLOOKUP($S$378,'TAR FIN'!$A$1:$O$85,15,0))</f>
        <v>0</v>
      </c>
      <c r="W378" s="52">
        <f>IF(ISERROR(VLOOKUP($T$378,'TAR FIN'!$A$1:$O$85,15,0)),0,VLOOKUP($T$378,'TAR FIN'!$A$1:$O$85,15,0))*(1-0.06)</f>
        <v>416.38239999999996</v>
      </c>
      <c r="X378" s="52">
        <f>IF(ISERROR(VLOOKUP($U$378,'TAR FIN'!$A$1:$O$85,15,0)),0,VLOOKUP($U$378,'TAR FIN'!$A$1:$O$85,15,0))*(1-0.06)</f>
        <v>174.59559999999999</v>
      </c>
      <c r="Y378" s="52"/>
      <c r="Z378" s="52">
        <f ca="1">('TUSD BE'!$AM$48+'TUSD BF'!$AM$48+'TUSD CVA'!$AM$48)*1*(1-0.03)</f>
        <v>503.68262467907113</v>
      </c>
      <c r="AA378" s="52">
        <f>('TE BE'!$AB$39+'TE BF'!$AB$39+'TE CVA'!$AB$39)*1*(1-0.03)</f>
        <v>161.76059321393376</v>
      </c>
      <c r="AB378" s="6">
        <f>$K$378*$V$378</f>
        <v>0</v>
      </c>
      <c r="AC378" s="6">
        <f>$M$378*$W$378</f>
        <v>1462.7513711999998</v>
      </c>
      <c r="AD378" s="6">
        <f>$O$378*$X$378</f>
        <v>613.35434279999993</v>
      </c>
      <c r="AE378" s="6">
        <f>$K$378*$Y$378</f>
        <v>0</v>
      </c>
      <c r="AF378" s="6">
        <f ca="1">$M$378*$Z$378</f>
        <v>1769.4370604975768</v>
      </c>
      <c r="AG378" s="6">
        <f>$O$378*$AA$378</f>
        <v>568.26496396054927</v>
      </c>
    </row>
    <row r="379" spans="1:33" ht="11.25" customHeight="1" x14ac:dyDescent="0.3">
      <c r="A379" s="4" t="s">
        <v>21</v>
      </c>
      <c r="B379" s="4" t="s">
        <v>35</v>
      </c>
      <c r="C379" s="4" t="s">
        <v>23</v>
      </c>
      <c r="D379" s="4" t="s">
        <v>50</v>
      </c>
      <c r="E379" s="4" t="s">
        <v>51</v>
      </c>
      <c r="F379" s="4" t="s">
        <v>25</v>
      </c>
      <c r="G379" s="4" t="s">
        <v>25</v>
      </c>
      <c r="H379" s="4" t="s">
        <v>25</v>
      </c>
      <c r="I379" s="5">
        <v>44682</v>
      </c>
      <c r="J379" s="6">
        <v>0</v>
      </c>
      <c r="K379" s="52">
        <v>0</v>
      </c>
      <c r="L379" s="6">
        <v>4.3680000000000003</v>
      </c>
      <c r="M379" s="52">
        <v>4.3680000000000003</v>
      </c>
      <c r="N379" s="6">
        <v>4.3680000000000003</v>
      </c>
      <c r="O379" s="52">
        <v>4.3680000000000003</v>
      </c>
      <c r="P379" s="6">
        <v>5</v>
      </c>
      <c r="Q379" s="4" t="s">
        <v>26</v>
      </c>
      <c r="R379" s="4">
        <v>0</v>
      </c>
      <c r="S379" s="6">
        <v>0</v>
      </c>
      <c r="T379" s="6">
        <v>67</v>
      </c>
      <c r="U379" s="6">
        <v>39</v>
      </c>
      <c r="V379" s="52">
        <f>IF(ISERROR(VLOOKUP($S$379,'TAR FIN'!$A$1:$O$85,15,0)),0,VLOOKUP($S$379,'TAR FIN'!$A$1:$O$85,15,0))</f>
        <v>0</v>
      </c>
      <c r="W379" s="52">
        <f>IF(ISERROR(VLOOKUP($T$379,'TAR FIN'!$A$1:$O$85,15,0)),0,VLOOKUP($T$379,'TAR FIN'!$A$1:$O$85,15,0))*(1-0.06)</f>
        <v>416.38239999999996</v>
      </c>
      <c r="X379" s="52">
        <f>IF(ISERROR(VLOOKUP($U$379,'TAR FIN'!$A$1:$O$85,15,0)),0,VLOOKUP($U$379,'TAR FIN'!$A$1:$O$85,15,0))*(1-0.06)</f>
        <v>174.59559999999999</v>
      </c>
      <c r="Y379" s="52"/>
      <c r="Z379" s="52">
        <f ca="1">('TUSD BE'!$AM$48+'TUSD BF'!$AM$48+'TUSD CVA'!$AM$48)*1*(1-0.03)</f>
        <v>503.68262467907113</v>
      </c>
      <c r="AA379" s="52">
        <f>('TE BE'!$AB$39+'TE BF'!$AB$39+'TE CVA'!$AB$39)*1*(1-0.03)</f>
        <v>161.76059321393376</v>
      </c>
      <c r="AB379" s="6">
        <f>$K$379*$V$379</f>
        <v>0</v>
      </c>
      <c r="AC379" s="6">
        <f>$M$379*$W$379</f>
        <v>1818.7583231999999</v>
      </c>
      <c r="AD379" s="6">
        <f>$O$379*$X$379</f>
        <v>762.6335808</v>
      </c>
      <c r="AE379" s="6">
        <f>$K$379*$Y$379</f>
        <v>0</v>
      </c>
      <c r="AF379" s="6">
        <f ca="1">$M$379*$Z$379</f>
        <v>2200.0857045981829</v>
      </c>
      <c r="AG379" s="6">
        <f>$O$379*$AA$379</f>
        <v>706.57027115846267</v>
      </c>
    </row>
    <row r="380" spans="1:33" ht="11.25" customHeight="1" x14ac:dyDescent="0.3">
      <c r="A380" s="4" t="s">
        <v>21</v>
      </c>
      <c r="B380" s="4" t="s">
        <v>35</v>
      </c>
      <c r="C380" s="4" t="s">
        <v>23</v>
      </c>
      <c r="D380" s="4" t="s">
        <v>50</v>
      </c>
      <c r="E380" s="4" t="s">
        <v>51</v>
      </c>
      <c r="F380" s="4" t="s">
        <v>25</v>
      </c>
      <c r="G380" s="4" t="s">
        <v>25</v>
      </c>
      <c r="H380" s="4" t="s">
        <v>25</v>
      </c>
      <c r="I380" s="5">
        <v>44713</v>
      </c>
      <c r="J380" s="6">
        <v>0</v>
      </c>
      <c r="K380" s="52">
        <v>0</v>
      </c>
      <c r="L380" s="6">
        <v>3.9340000000000002</v>
      </c>
      <c r="M380" s="52">
        <v>3.9340000000000002</v>
      </c>
      <c r="N380" s="6">
        <v>3.9340000000000002</v>
      </c>
      <c r="O380" s="52">
        <v>3.9340000000000002</v>
      </c>
      <c r="P380" s="6">
        <v>5</v>
      </c>
      <c r="Q380" s="4" t="s">
        <v>26</v>
      </c>
      <c r="R380" s="4">
        <v>0</v>
      </c>
      <c r="S380" s="6">
        <v>0</v>
      </c>
      <c r="T380" s="6">
        <v>67</v>
      </c>
      <c r="U380" s="6">
        <v>39</v>
      </c>
      <c r="V380" s="52">
        <f>IF(ISERROR(VLOOKUP($S$380,'TAR FIN'!$A$1:$O$85,15,0)),0,VLOOKUP($S$380,'TAR FIN'!$A$1:$O$85,15,0))</f>
        <v>0</v>
      </c>
      <c r="W380" s="52">
        <f>IF(ISERROR(VLOOKUP($T$380,'TAR FIN'!$A$1:$O$85,15,0)),0,VLOOKUP($T$380,'TAR FIN'!$A$1:$O$85,15,0))*(1-0.06)</f>
        <v>416.38239999999996</v>
      </c>
      <c r="X380" s="52">
        <f>IF(ISERROR(VLOOKUP($U$380,'TAR FIN'!$A$1:$O$85,15,0)),0,VLOOKUP($U$380,'TAR FIN'!$A$1:$O$85,15,0))*(1-0.06)</f>
        <v>174.59559999999999</v>
      </c>
      <c r="Y380" s="52"/>
      <c r="Z380" s="52">
        <f ca="1">('TUSD BE'!$AM$48+'TUSD BF'!$AM$48+'TUSD CVA'!$AM$48)*1*(1-0.03)</f>
        <v>503.68262467907113</v>
      </c>
      <c r="AA380" s="52">
        <f>('TE BE'!$AB$39+'TE BF'!$AB$39+'TE CVA'!$AB$39)*1*(1-0.03)</f>
        <v>161.76059321393376</v>
      </c>
      <c r="AB380" s="6">
        <f>$K$380*$V$380</f>
        <v>0</v>
      </c>
      <c r="AC380" s="6">
        <f>$M$380*$W$380</f>
        <v>1638.0483615999999</v>
      </c>
      <c r="AD380" s="6">
        <f>$O$380*$X$380</f>
        <v>686.85909040000001</v>
      </c>
      <c r="AE380" s="6">
        <f>$K$380*$Y$380</f>
        <v>0</v>
      </c>
      <c r="AF380" s="6">
        <f ca="1">$M$380*$Z$380</f>
        <v>1981.4874454874659</v>
      </c>
      <c r="AG380" s="6">
        <f>$O$380*$AA$380</f>
        <v>636.36617370361546</v>
      </c>
    </row>
    <row r="381" spans="1:33" ht="11.25" customHeight="1" x14ac:dyDescent="0.3">
      <c r="A381" s="4" t="s">
        <v>21</v>
      </c>
      <c r="B381" s="4" t="s">
        <v>35</v>
      </c>
      <c r="C381" s="4" t="s">
        <v>23</v>
      </c>
      <c r="D381" s="4" t="s">
        <v>50</v>
      </c>
      <c r="E381" s="4" t="s">
        <v>51</v>
      </c>
      <c r="F381" s="4" t="s">
        <v>25</v>
      </c>
      <c r="G381" s="4" t="s">
        <v>25</v>
      </c>
      <c r="H381" s="4" t="s">
        <v>25</v>
      </c>
      <c r="I381" s="5">
        <v>44743</v>
      </c>
      <c r="J381" s="6">
        <v>0</v>
      </c>
      <c r="K381" s="52">
        <v>0</v>
      </c>
      <c r="L381" s="6">
        <v>3.6429999999999998</v>
      </c>
      <c r="M381" s="52">
        <v>3.6429999999999998</v>
      </c>
      <c r="N381" s="6">
        <v>3.6429999999999998</v>
      </c>
      <c r="O381" s="52">
        <v>3.6429999999999998</v>
      </c>
      <c r="P381" s="6">
        <v>5</v>
      </c>
      <c r="Q381" s="4" t="s">
        <v>26</v>
      </c>
      <c r="R381" s="4">
        <v>0</v>
      </c>
      <c r="S381" s="6">
        <v>0</v>
      </c>
      <c r="T381" s="6">
        <v>67</v>
      </c>
      <c r="U381" s="6">
        <v>39</v>
      </c>
      <c r="V381" s="52">
        <f>IF(ISERROR(VLOOKUP($S$381,'TAR FIN'!$A$1:$O$85,15,0)),0,VLOOKUP($S$381,'TAR FIN'!$A$1:$O$85,15,0))</f>
        <v>0</v>
      </c>
      <c r="W381" s="52">
        <f>IF(ISERROR(VLOOKUP($T$381,'TAR FIN'!$A$1:$O$85,15,0)),0,VLOOKUP($T$381,'TAR FIN'!$A$1:$O$85,15,0))*(1-0.06)</f>
        <v>416.38239999999996</v>
      </c>
      <c r="X381" s="52">
        <f>IF(ISERROR(VLOOKUP($U$381,'TAR FIN'!$A$1:$O$85,15,0)),0,VLOOKUP($U$381,'TAR FIN'!$A$1:$O$85,15,0))*(1-0.06)</f>
        <v>174.59559999999999</v>
      </c>
      <c r="Y381" s="52"/>
      <c r="Z381" s="52">
        <f ca="1">('TUSD BE'!$AM$48+'TUSD BF'!$AM$48+'TUSD CVA'!$AM$48)*1*(1-0.03)</f>
        <v>503.68262467907113</v>
      </c>
      <c r="AA381" s="52">
        <f>('TE BE'!$AB$39+'TE BF'!$AB$39+'TE CVA'!$AB$39)*1*(1-0.03)</f>
        <v>161.76059321393376</v>
      </c>
      <c r="AB381" s="6">
        <f>$K$381*$V$381</f>
        <v>0</v>
      </c>
      <c r="AC381" s="6">
        <f>$M$381*$W$381</f>
        <v>1516.8810831999997</v>
      </c>
      <c r="AD381" s="6">
        <f>$O$381*$X$381</f>
        <v>636.05177079999999</v>
      </c>
      <c r="AE381" s="6">
        <f>$K$381*$Y$381</f>
        <v>0</v>
      </c>
      <c r="AF381" s="6">
        <f ca="1">$M$381*$Z$381</f>
        <v>1834.915801705856</v>
      </c>
      <c r="AG381" s="6">
        <f>$O$381*$AA$381</f>
        <v>589.29384107836063</v>
      </c>
    </row>
    <row r="382" spans="1:33" ht="11.25" customHeight="1" x14ac:dyDescent="0.3">
      <c r="A382" s="4" t="s">
        <v>21</v>
      </c>
      <c r="B382" s="4" t="s">
        <v>35</v>
      </c>
      <c r="C382" s="4" t="s">
        <v>23</v>
      </c>
      <c r="D382" s="4" t="s">
        <v>50</v>
      </c>
      <c r="E382" s="4" t="s">
        <v>51</v>
      </c>
      <c r="F382" s="4" t="s">
        <v>25</v>
      </c>
      <c r="G382" s="4" t="s">
        <v>25</v>
      </c>
      <c r="H382" s="4" t="s">
        <v>25</v>
      </c>
      <c r="I382" s="5">
        <v>44774</v>
      </c>
      <c r="J382" s="6">
        <v>0</v>
      </c>
      <c r="K382" s="52">
        <v>0</v>
      </c>
      <c r="L382" s="6">
        <v>3.62</v>
      </c>
      <c r="M382" s="52">
        <v>3.62</v>
      </c>
      <c r="N382" s="6">
        <v>3.62</v>
      </c>
      <c r="O382" s="52">
        <v>3.62</v>
      </c>
      <c r="P382" s="6">
        <v>5</v>
      </c>
      <c r="Q382" s="4" t="s">
        <v>26</v>
      </c>
      <c r="R382" s="4">
        <v>0</v>
      </c>
      <c r="S382" s="6">
        <v>0</v>
      </c>
      <c r="T382" s="6">
        <v>67</v>
      </c>
      <c r="U382" s="6">
        <v>39</v>
      </c>
      <c r="V382" s="52">
        <f>IF(ISERROR(VLOOKUP($S$382,'TAR FIN'!$A$1:$O$85,15,0)),0,VLOOKUP($S$382,'TAR FIN'!$A$1:$O$85,15,0))</f>
        <v>0</v>
      </c>
      <c r="W382" s="52">
        <f>IF(ISERROR(VLOOKUP($T$382,'TAR FIN'!$A$1:$O$85,15,0)),0,VLOOKUP($T$382,'TAR FIN'!$A$1:$O$85,15,0))*(1-0.06)</f>
        <v>416.38239999999996</v>
      </c>
      <c r="X382" s="52">
        <f>IF(ISERROR(VLOOKUP($U$382,'TAR FIN'!$A$1:$O$85,15,0)),0,VLOOKUP($U$382,'TAR FIN'!$A$1:$O$85,15,0))*(1-0.06)</f>
        <v>174.59559999999999</v>
      </c>
      <c r="Y382" s="52"/>
      <c r="Z382" s="52">
        <f ca="1">('TUSD BE'!$AM$48+'TUSD BF'!$AM$48+'TUSD CVA'!$AM$48)*1*(1-0.03)</f>
        <v>503.68262467907113</v>
      </c>
      <c r="AA382" s="52">
        <f>('TE BE'!$AB$39+'TE BF'!$AB$39+'TE CVA'!$AB$39)*1*(1-0.03)</f>
        <v>161.76059321393376</v>
      </c>
      <c r="AB382" s="6">
        <f>$K$382*$V$382</f>
        <v>0</v>
      </c>
      <c r="AC382" s="6">
        <f>$M$382*$W$382</f>
        <v>1507.3042879999998</v>
      </c>
      <c r="AD382" s="6">
        <f>$O$382*$X$382</f>
        <v>632.03607199999999</v>
      </c>
      <c r="AE382" s="6">
        <f>$K$382*$Y$382</f>
        <v>0</v>
      </c>
      <c r="AF382" s="6">
        <f ca="1">$M$382*$Z$382</f>
        <v>1823.3311013382374</v>
      </c>
      <c r="AG382" s="6">
        <f>$O$382*$AA$382</f>
        <v>585.57334743444028</v>
      </c>
    </row>
    <row r="383" spans="1:33" ht="11.25" customHeight="1" x14ac:dyDescent="0.3">
      <c r="A383" s="4" t="s">
        <v>21</v>
      </c>
      <c r="B383" s="4" t="s">
        <v>35</v>
      </c>
      <c r="C383" s="4" t="s">
        <v>23</v>
      </c>
      <c r="D383" s="4" t="s">
        <v>50</v>
      </c>
      <c r="E383" s="4" t="s">
        <v>53</v>
      </c>
      <c r="F383" s="4" t="s">
        <v>25</v>
      </c>
      <c r="G383" s="4" t="s">
        <v>25</v>
      </c>
      <c r="H383" s="4" t="s">
        <v>25</v>
      </c>
      <c r="I383" s="5">
        <v>44440</v>
      </c>
      <c r="J383" s="6">
        <v>0</v>
      </c>
      <c r="K383" s="6">
        <v>0</v>
      </c>
      <c r="L383" s="6">
        <v>0.03</v>
      </c>
      <c r="M383" s="6">
        <v>0.03</v>
      </c>
      <c r="N383" s="6">
        <v>0.03</v>
      </c>
      <c r="O383" s="6">
        <v>0.03</v>
      </c>
      <c r="P383" s="6">
        <v>1</v>
      </c>
      <c r="Q383" s="4" t="s">
        <v>26</v>
      </c>
      <c r="R383" s="4">
        <v>0</v>
      </c>
      <c r="S383" s="6">
        <v>0</v>
      </c>
      <c r="T383" s="6">
        <v>67</v>
      </c>
      <c r="U383" s="6">
        <v>39</v>
      </c>
      <c r="V383" s="6">
        <f>IF(ISERROR(VLOOKUP($S$383,'TAR FIN'!$A$1:$O$85,15,0)),0,VLOOKUP($S$383,'TAR FIN'!$A$1:$O$85,15,0))</f>
        <v>0</v>
      </c>
      <c r="W383" s="6">
        <f>IF(ISERROR(VLOOKUP($T$383,'TAR FIN'!$A$1:$O$85,15,0)),0,VLOOKUP($T$383,'TAR FIN'!$A$1:$O$85,15,0))</f>
        <v>442.96</v>
      </c>
      <c r="X383" s="6">
        <f>IF(ISERROR(VLOOKUP($U$383,'TAR FIN'!$A$1:$O$85,15,0)),0,VLOOKUP($U$383,'TAR FIN'!$A$1:$O$85,15,0))</f>
        <v>185.74</v>
      </c>
      <c r="Y383" s="6"/>
      <c r="Z383" s="6">
        <f ca="1">('TUSD BE'!$AM$48+'TUSD BF'!$AM$48+'TUSD CVA'!$AM$48)*1</f>
        <v>519.26043781347539</v>
      </c>
      <c r="AA383" s="6">
        <f>('TE BE'!$AB$39+'TE BF'!$AB$39+'TE CVA'!$AB$39)*1</f>
        <v>166.7634981586946</v>
      </c>
      <c r="AB383" s="6">
        <f>$K$383*$V$383</f>
        <v>0</v>
      </c>
      <c r="AC383" s="6">
        <f>$M$383*$W$383</f>
        <v>13.288799999999998</v>
      </c>
      <c r="AD383" s="6">
        <f>$O$383*$X$383</f>
        <v>5.5722000000000005</v>
      </c>
      <c r="AE383" s="6">
        <f>$K$383*$Y$383</f>
        <v>0</v>
      </c>
      <c r="AF383" s="6">
        <f ca="1">$M$383*$Z$383</f>
        <v>15.577813134404261</v>
      </c>
      <c r="AG383" s="6">
        <f>$O$383*$AA$383</f>
        <v>5.0029049447608376</v>
      </c>
    </row>
    <row r="384" spans="1:33" ht="11.25" customHeight="1" x14ac:dyDescent="0.3">
      <c r="A384" s="4" t="s">
        <v>21</v>
      </c>
      <c r="B384" s="4" t="s">
        <v>35</v>
      </c>
      <c r="C384" s="4" t="s">
        <v>23</v>
      </c>
      <c r="D384" s="4" t="s">
        <v>50</v>
      </c>
      <c r="E384" s="4" t="s">
        <v>53</v>
      </c>
      <c r="F384" s="4" t="s">
        <v>25</v>
      </c>
      <c r="G384" s="4" t="s">
        <v>25</v>
      </c>
      <c r="H384" s="4" t="s">
        <v>25</v>
      </c>
      <c r="I384" s="5">
        <v>44470</v>
      </c>
      <c r="J384" s="6">
        <v>0</v>
      </c>
      <c r="K384" s="6">
        <v>0</v>
      </c>
      <c r="L384" s="6">
        <v>5.8000000000000003E-2</v>
      </c>
      <c r="M384" s="6">
        <v>5.8000000000000003E-2</v>
      </c>
      <c r="N384" s="6">
        <v>5.8000000000000003E-2</v>
      </c>
      <c r="O384" s="6">
        <v>5.8000000000000003E-2</v>
      </c>
      <c r="P384" s="6">
        <v>1</v>
      </c>
      <c r="Q384" s="4" t="s">
        <v>26</v>
      </c>
      <c r="R384" s="4">
        <v>0</v>
      </c>
      <c r="S384" s="6">
        <v>0</v>
      </c>
      <c r="T384" s="6">
        <v>67</v>
      </c>
      <c r="U384" s="6">
        <v>39</v>
      </c>
      <c r="V384" s="6">
        <f>IF(ISERROR(VLOOKUP($S$384,'TAR FIN'!$A$1:$O$85,15,0)),0,VLOOKUP($S$384,'TAR FIN'!$A$1:$O$85,15,0))</f>
        <v>0</v>
      </c>
      <c r="W384" s="6">
        <f>IF(ISERROR(VLOOKUP($T$384,'TAR FIN'!$A$1:$O$85,15,0)),0,VLOOKUP($T$384,'TAR FIN'!$A$1:$O$85,15,0))</f>
        <v>442.96</v>
      </c>
      <c r="X384" s="6">
        <f>IF(ISERROR(VLOOKUP($U$384,'TAR FIN'!$A$1:$O$85,15,0)),0,VLOOKUP($U$384,'TAR FIN'!$A$1:$O$85,15,0))</f>
        <v>185.74</v>
      </c>
      <c r="Y384" s="6"/>
      <c r="Z384" s="6">
        <f ca="1">('TUSD BE'!$AM$48+'TUSD BF'!$AM$48+'TUSD CVA'!$AM$48)*1</f>
        <v>519.26043781347539</v>
      </c>
      <c r="AA384" s="6">
        <f>('TE BE'!$AB$39+'TE BF'!$AB$39+'TE CVA'!$AB$39)*1</f>
        <v>166.7634981586946</v>
      </c>
      <c r="AB384" s="6">
        <f>$K$384*$V$384</f>
        <v>0</v>
      </c>
      <c r="AC384" s="6">
        <f>$M$384*$W$384</f>
        <v>25.691680000000002</v>
      </c>
      <c r="AD384" s="6">
        <f>$O$384*$X$384</f>
        <v>10.772920000000001</v>
      </c>
      <c r="AE384" s="6">
        <f>$K$384*$Y$384</f>
        <v>0</v>
      </c>
      <c r="AF384" s="6">
        <f ca="1">$M$384*$Z$384</f>
        <v>30.117105393181575</v>
      </c>
      <c r="AG384" s="6">
        <f>$O$384*$AA$384</f>
        <v>9.6722828932042866</v>
      </c>
    </row>
    <row r="385" spans="1:33" ht="11.25" customHeight="1" x14ac:dyDescent="0.3">
      <c r="A385" s="4" t="s">
        <v>21</v>
      </c>
      <c r="B385" s="4" t="s">
        <v>35</v>
      </c>
      <c r="C385" s="4" t="s">
        <v>23</v>
      </c>
      <c r="D385" s="4" t="s">
        <v>50</v>
      </c>
      <c r="E385" s="4" t="s">
        <v>53</v>
      </c>
      <c r="F385" s="4" t="s">
        <v>25</v>
      </c>
      <c r="G385" s="4" t="s">
        <v>25</v>
      </c>
      <c r="H385" s="4" t="s">
        <v>25</v>
      </c>
      <c r="I385" s="5">
        <v>44501</v>
      </c>
      <c r="J385" s="6">
        <v>0</v>
      </c>
      <c r="K385" s="6">
        <v>0</v>
      </c>
      <c r="L385" s="6">
        <v>4.2000000000000003E-2</v>
      </c>
      <c r="M385" s="6">
        <v>4.2000000000000003E-2</v>
      </c>
      <c r="N385" s="6">
        <v>4.2000000000000003E-2</v>
      </c>
      <c r="O385" s="6">
        <v>4.2000000000000003E-2</v>
      </c>
      <c r="P385" s="6">
        <v>1</v>
      </c>
      <c r="Q385" s="4" t="s">
        <v>26</v>
      </c>
      <c r="R385" s="4">
        <v>0</v>
      </c>
      <c r="S385" s="6">
        <v>0</v>
      </c>
      <c r="T385" s="6">
        <v>67</v>
      </c>
      <c r="U385" s="6">
        <v>39</v>
      </c>
      <c r="V385" s="6">
        <f>IF(ISERROR(VLOOKUP($S$385,'TAR FIN'!$A$1:$O$85,15,0)),0,VLOOKUP($S$385,'TAR FIN'!$A$1:$O$85,15,0))</f>
        <v>0</v>
      </c>
      <c r="W385" s="6">
        <f>IF(ISERROR(VLOOKUP($T$385,'TAR FIN'!$A$1:$O$85,15,0)),0,VLOOKUP($T$385,'TAR FIN'!$A$1:$O$85,15,0))</f>
        <v>442.96</v>
      </c>
      <c r="X385" s="6">
        <f>IF(ISERROR(VLOOKUP($U$385,'TAR FIN'!$A$1:$O$85,15,0)),0,VLOOKUP($U$385,'TAR FIN'!$A$1:$O$85,15,0))</f>
        <v>185.74</v>
      </c>
      <c r="Y385" s="6"/>
      <c r="Z385" s="6">
        <f ca="1">('TUSD BE'!$AM$48+'TUSD BF'!$AM$48+'TUSD CVA'!$AM$48)*1</f>
        <v>519.26043781347539</v>
      </c>
      <c r="AA385" s="6">
        <f>('TE BE'!$AB$39+'TE BF'!$AB$39+'TE CVA'!$AB$39)*1</f>
        <v>166.7634981586946</v>
      </c>
      <c r="AB385" s="6">
        <f>$K$385*$V$385</f>
        <v>0</v>
      </c>
      <c r="AC385" s="6">
        <f>$M$385*$W$385</f>
        <v>18.604320000000001</v>
      </c>
      <c r="AD385" s="6">
        <f>$O$385*$X$385</f>
        <v>7.8010800000000007</v>
      </c>
      <c r="AE385" s="6">
        <f>$K$385*$Y$385</f>
        <v>0</v>
      </c>
      <c r="AF385" s="6">
        <f ca="1">$M$385*$Z$385</f>
        <v>21.808938388165966</v>
      </c>
      <c r="AG385" s="6">
        <f>$O$385*$AA$385</f>
        <v>7.0040669226651735</v>
      </c>
    </row>
    <row r="386" spans="1:33" ht="11.25" customHeight="1" x14ac:dyDescent="0.3">
      <c r="A386" s="4" t="s">
        <v>21</v>
      </c>
      <c r="B386" s="4" t="s">
        <v>35</v>
      </c>
      <c r="C386" s="4" t="s">
        <v>23</v>
      </c>
      <c r="D386" s="4" t="s">
        <v>50</v>
      </c>
      <c r="E386" s="4" t="s">
        <v>53</v>
      </c>
      <c r="F386" s="4" t="s">
        <v>25</v>
      </c>
      <c r="G386" s="4" t="s">
        <v>25</v>
      </c>
      <c r="H386" s="4" t="s">
        <v>25</v>
      </c>
      <c r="I386" s="5">
        <v>44531</v>
      </c>
      <c r="J386" s="6">
        <v>0</v>
      </c>
      <c r="K386" s="6">
        <v>0</v>
      </c>
      <c r="L386" s="6">
        <v>5.1999999999999998E-2</v>
      </c>
      <c r="M386" s="6">
        <v>5.1999999999999998E-2</v>
      </c>
      <c r="N386" s="6">
        <v>5.1999999999999998E-2</v>
      </c>
      <c r="O386" s="6">
        <v>5.1999999999999998E-2</v>
      </c>
      <c r="P386" s="6">
        <v>1</v>
      </c>
      <c r="Q386" s="4" t="s">
        <v>26</v>
      </c>
      <c r="R386" s="4">
        <v>0</v>
      </c>
      <c r="S386" s="6">
        <v>0</v>
      </c>
      <c r="T386" s="6">
        <v>67</v>
      </c>
      <c r="U386" s="6">
        <v>39</v>
      </c>
      <c r="V386" s="6">
        <f>IF(ISERROR(VLOOKUP($S$386,'TAR FIN'!$A$1:$O$85,15,0)),0,VLOOKUP($S$386,'TAR FIN'!$A$1:$O$85,15,0))</f>
        <v>0</v>
      </c>
      <c r="W386" s="6">
        <f>IF(ISERROR(VLOOKUP($T$386,'TAR FIN'!$A$1:$O$85,15,0)),0,VLOOKUP($T$386,'TAR FIN'!$A$1:$O$85,15,0))</f>
        <v>442.96</v>
      </c>
      <c r="X386" s="6">
        <f>IF(ISERROR(VLOOKUP($U$386,'TAR FIN'!$A$1:$O$85,15,0)),0,VLOOKUP($U$386,'TAR FIN'!$A$1:$O$85,15,0))</f>
        <v>185.74</v>
      </c>
      <c r="Y386" s="6"/>
      <c r="Z386" s="6">
        <f ca="1">('TUSD BE'!$AM$48+'TUSD BF'!$AM$48+'TUSD CVA'!$AM$48)*1</f>
        <v>519.26043781347539</v>
      </c>
      <c r="AA386" s="6">
        <f>('TE BE'!$AB$39+'TE BF'!$AB$39+'TE CVA'!$AB$39)*1</f>
        <v>166.7634981586946</v>
      </c>
      <c r="AB386" s="6">
        <f>$K$386*$V$386</f>
        <v>0</v>
      </c>
      <c r="AC386" s="6">
        <f>$M$386*$W$386</f>
        <v>23.033919999999998</v>
      </c>
      <c r="AD386" s="6">
        <f>$O$386*$X$386</f>
        <v>9.6584800000000008</v>
      </c>
      <c r="AE386" s="6">
        <f>$K$386*$Y$386</f>
        <v>0</v>
      </c>
      <c r="AF386" s="6">
        <f ca="1">$M$386*$Z$386</f>
        <v>27.001542766300719</v>
      </c>
      <c r="AG386" s="6">
        <f>$O$386*$AA$386</f>
        <v>8.6717019042521191</v>
      </c>
    </row>
    <row r="387" spans="1:33" ht="11.25" customHeight="1" x14ac:dyDescent="0.3">
      <c r="A387" s="4" t="s">
        <v>21</v>
      </c>
      <c r="B387" s="4" t="s">
        <v>35</v>
      </c>
      <c r="C387" s="4" t="s">
        <v>23</v>
      </c>
      <c r="D387" s="4" t="s">
        <v>50</v>
      </c>
      <c r="E387" s="4" t="s">
        <v>53</v>
      </c>
      <c r="F387" s="4" t="s">
        <v>25</v>
      </c>
      <c r="G387" s="4" t="s">
        <v>25</v>
      </c>
      <c r="H387" s="4" t="s">
        <v>25</v>
      </c>
      <c r="I387" s="5">
        <v>44562</v>
      </c>
      <c r="J387" s="6">
        <v>0</v>
      </c>
      <c r="K387" s="6">
        <v>0</v>
      </c>
      <c r="L387" s="6">
        <v>5.8999999999999997E-2</v>
      </c>
      <c r="M387" s="6">
        <v>5.8999999999999997E-2</v>
      </c>
      <c r="N387" s="6">
        <v>5.8999999999999997E-2</v>
      </c>
      <c r="O387" s="6">
        <v>5.8999999999999997E-2</v>
      </c>
      <c r="P387" s="6">
        <v>1</v>
      </c>
      <c r="Q387" s="4" t="s">
        <v>26</v>
      </c>
      <c r="R387" s="4">
        <v>0</v>
      </c>
      <c r="S387" s="6">
        <v>0</v>
      </c>
      <c r="T387" s="6">
        <v>67</v>
      </c>
      <c r="U387" s="6">
        <v>39</v>
      </c>
      <c r="V387" s="6">
        <f>IF(ISERROR(VLOOKUP($S$387,'TAR FIN'!$A$1:$O$85,15,0)),0,VLOOKUP($S$387,'TAR FIN'!$A$1:$O$85,15,0))</f>
        <v>0</v>
      </c>
      <c r="W387" s="6">
        <f>IF(ISERROR(VLOOKUP($T$387,'TAR FIN'!$A$1:$O$85,15,0)),0,VLOOKUP($T$387,'TAR FIN'!$A$1:$O$85,15,0))</f>
        <v>442.96</v>
      </c>
      <c r="X387" s="6">
        <f>IF(ISERROR(VLOOKUP($U$387,'TAR FIN'!$A$1:$O$85,15,0)),0,VLOOKUP($U$387,'TAR FIN'!$A$1:$O$85,15,0))</f>
        <v>185.74</v>
      </c>
      <c r="Y387" s="6"/>
      <c r="Z387" s="6">
        <f ca="1">('TUSD BE'!$AM$48+'TUSD BF'!$AM$48+'TUSD CVA'!$AM$48)*1</f>
        <v>519.26043781347539</v>
      </c>
      <c r="AA387" s="6">
        <f>('TE BE'!$AB$39+'TE BF'!$AB$39+'TE CVA'!$AB$39)*1</f>
        <v>166.7634981586946</v>
      </c>
      <c r="AB387" s="6">
        <f>$K$387*$V$387</f>
        <v>0</v>
      </c>
      <c r="AC387" s="6">
        <f>$M$387*$W$387</f>
        <v>26.134639999999997</v>
      </c>
      <c r="AD387" s="6">
        <f>$O$387*$X$387</f>
        <v>10.95866</v>
      </c>
      <c r="AE387" s="6">
        <f>$K$387*$Y$387</f>
        <v>0</v>
      </c>
      <c r="AF387" s="6">
        <f ca="1">$M$387*$Z$387</f>
        <v>30.636365830995047</v>
      </c>
      <c r="AG387" s="6">
        <f>$O$387*$AA$387</f>
        <v>9.8390463913629809</v>
      </c>
    </row>
    <row r="388" spans="1:33" ht="11.25" customHeight="1" x14ac:dyDescent="0.3">
      <c r="A388" s="4" t="s">
        <v>21</v>
      </c>
      <c r="B388" s="4" t="s">
        <v>35</v>
      </c>
      <c r="C388" s="4" t="s">
        <v>23</v>
      </c>
      <c r="D388" s="4" t="s">
        <v>50</v>
      </c>
      <c r="E388" s="4" t="s">
        <v>53</v>
      </c>
      <c r="F388" s="4" t="s">
        <v>25</v>
      </c>
      <c r="G388" s="4" t="s">
        <v>25</v>
      </c>
      <c r="H388" s="4" t="s">
        <v>25</v>
      </c>
      <c r="I388" s="5">
        <v>44593</v>
      </c>
      <c r="J388" s="6">
        <v>0</v>
      </c>
      <c r="K388" s="6">
        <v>0</v>
      </c>
      <c r="L388" s="6">
        <v>0.06</v>
      </c>
      <c r="M388" s="6">
        <v>0.06</v>
      </c>
      <c r="N388" s="6">
        <v>0.06</v>
      </c>
      <c r="O388" s="6">
        <v>0.06</v>
      </c>
      <c r="P388" s="6">
        <v>1</v>
      </c>
      <c r="Q388" s="4" t="s">
        <v>26</v>
      </c>
      <c r="R388" s="4">
        <v>0</v>
      </c>
      <c r="S388" s="6">
        <v>0</v>
      </c>
      <c r="T388" s="6">
        <v>67</v>
      </c>
      <c r="U388" s="6">
        <v>39</v>
      </c>
      <c r="V388" s="6">
        <f>IF(ISERROR(VLOOKUP($S$388,'TAR FIN'!$A$1:$O$85,15,0)),0,VLOOKUP($S$388,'TAR FIN'!$A$1:$O$85,15,0))</f>
        <v>0</v>
      </c>
      <c r="W388" s="6">
        <f>IF(ISERROR(VLOOKUP($T$388,'TAR FIN'!$A$1:$O$85,15,0)),0,VLOOKUP($T$388,'TAR FIN'!$A$1:$O$85,15,0))</f>
        <v>442.96</v>
      </c>
      <c r="X388" s="6">
        <f>IF(ISERROR(VLOOKUP($U$388,'TAR FIN'!$A$1:$O$85,15,0)),0,VLOOKUP($U$388,'TAR FIN'!$A$1:$O$85,15,0))</f>
        <v>185.74</v>
      </c>
      <c r="Y388" s="6"/>
      <c r="Z388" s="6">
        <f ca="1">('TUSD BE'!$AM$48+'TUSD BF'!$AM$48+'TUSD CVA'!$AM$48)*1</f>
        <v>519.26043781347539</v>
      </c>
      <c r="AA388" s="6">
        <f>('TE BE'!$AB$39+'TE BF'!$AB$39+'TE CVA'!$AB$39)*1</f>
        <v>166.7634981586946</v>
      </c>
      <c r="AB388" s="6">
        <f>$K$388*$V$388</f>
        <v>0</v>
      </c>
      <c r="AC388" s="6">
        <f>$M$388*$W$388</f>
        <v>26.577599999999997</v>
      </c>
      <c r="AD388" s="6">
        <f>$O$388*$X$388</f>
        <v>11.144400000000001</v>
      </c>
      <c r="AE388" s="6">
        <f>$K$388*$Y$388</f>
        <v>0</v>
      </c>
      <c r="AF388" s="6">
        <f ca="1">$M$388*$Z$388</f>
        <v>31.155626268808522</v>
      </c>
      <c r="AG388" s="6">
        <f>$O$388*$AA$388</f>
        <v>10.005809889521675</v>
      </c>
    </row>
    <row r="389" spans="1:33" ht="11.25" customHeight="1" x14ac:dyDescent="0.3">
      <c r="A389" s="4" t="s">
        <v>21</v>
      </c>
      <c r="B389" s="4" t="s">
        <v>35</v>
      </c>
      <c r="C389" s="4" t="s">
        <v>23</v>
      </c>
      <c r="D389" s="4" t="s">
        <v>50</v>
      </c>
      <c r="E389" s="4" t="s">
        <v>53</v>
      </c>
      <c r="F389" s="4" t="s">
        <v>25</v>
      </c>
      <c r="G389" s="4" t="s">
        <v>25</v>
      </c>
      <c r="H389" s="4" t="s">
        <v>25</v>
      </c>
      <c r="I389" s="5">
        <v>44621</v>
      </c>
      <c r="J389" s="6">
        <v>0</v>
      </c>
      <c r="K389" s="6">
        <v>0</v>
      </c>
      <c r="L389" s="6">
        <v>7.0000000000000007E-2</v>
      </c>
      <c r="M389" s="6">
        <v>7.0000000000000007E-2</v>
      </c>
      <c r="N389" s="6">
        <v>7.0000000000000007E-2</v>
      </c>
      <c r="O389" s="6">
        <v>7.0000000000000007E-2</v>
      </c>
      <c r="P389" s="6">
        <v>1</v>
      </c>
      <c r="Q389" s="4" t="s">
        <v>26</v>
      </c>
      <c r="R389" s="4">
        <v>0</v>
      </c>
      <c r="S389" s="6">
        <v>0</v>
      </c>
      <c r="T389" s="6">
        <v>67</v>
      </c>
      <c r="U389" s="6">
        <v>39</v>
      </c>
      <c r="V389" s="6">
        <f>IF(ISERROR(VLOOKUP($S$389,'TAR FIN'!$A$1:$O$85,15,0)),0,VLOOKUP($S$389,'TAR FIN'!$A$1:$O$85,15,0))</f>
        <v>0</v>
      </c>
      <c r="W389" s="6">
        <f>IF(ISERROR(VLOOKUP($T$389,'TAR FIN'!$A$1:$O$85,15,0)),0,VLOOKUP($T$389,'TAR FIN'!$A$1:$O$85,15,0))</f>
        <v>442.96</v>
      </c>
      <c r="X389" s="6">
        <f>IF(ISERROR(VLOOKUP($U$389,'TAR FIN'!$A$1:$O$85,15,0)),0,VLOOKUP($U$389,'TAR FIN'!$A$1:$O$85,15,0))</f>
        <v>185.74</v>
      </c>
      <c r="Y389" s="6"/>
      <c r="Z389" s="6">
        <f ca="1">('TUSD BE'!$AM$48+'TUSD BF'!$AM$48+'TUSD CVA'!$AM$48)*1</f>
        <v>519.26043781347539</v>
      </c>
      <c r="AA389" s="6">
        <f>('TE BE'!$AB$39+'TE BF'!$AB$39+'TE CVA'!$AB$39)*1</f>
        <v>166.7634981586946</v>
      </c>
      <c r="AB389" s="6">
        <f>$K$389*$V$389</f>
        <v>0</v>
      </c>
      <c r="AC389" s="6">
        <f>$M$389*$W$389</f>
        <v>31.007200000000001</v>
      </c>
      <c r="AD389" s="6">
        <f>$O$389*$X$389</f>
        <v>13.001800000000001</v>
      </c>
      <c r="AE389" s="6">
        <f>$K$389*$Y$389</f>
        <v>0</v>
      </c>
      <c r="AF389" s="6">
        <f ca="1">$M$389*$Z$389</f>
        <v>36.348230646943279</v>
      </c>
      <c r="AG389" s="6">
        <f>$O$389*$AA$389</f>
        <v>11.673444871108623</v>
      </c>
    </row>
    <row r="390" spans="1:33" ht="11.25" customHeight="1" x14ac:dyDescent="0.3">
      <c r="A390" s="4" t="s">
        <v>21</v>
      </c>
      <c r="B390" s="4" t="s">
        <v>35</v>
      </c>
      <c r="C390" s="4" t="s">
        <v>23</v>
      </c>
      <c r="D390" s="4" t="s">
        <v>50</v>
      </c>
      <c r="E390" s="4" t="s">
        <v>53</v>
      </c>
      <c r="F390" s="4" t="s">
        <v>25</v>
      </c>
      <c r="G390" s="4" t="s">
        <v>25</v>
      </c>
      <c r="H390" s="4" t="s">
        <v>25</v>
      </c>
      <c r="I390" s="5">
        <v>44652</v>
      </c>
      <c r="J390" s="6">
        <v>0</v>
      </c>
      <c r="K390" s="6">
        <v>0</v>
      </c>
      <c r="L390" s="6">
        <v>0.03</v>
      </c>
      <c r="M390" s="6">
        <v>0.03</v>
      </c>
      <c r="N390" s="6">
        <v>0.03</v>
      </c>
      <c r="O390" s="6">
        <v>0.03</v>
      </c>
      <c r="P390" s="6">
        <v>1</v>
      </c>
      <c r="Q390" s="4" t="s">
        <v>26</v>
      </c>
      <c r="R390" s="4">
        <v>0</v>
      </c>
      <c r="S390" s="6">
        <v>0</v>
      </c>
      <c r="T390" s="6">
        <v>67</v>
      </c>
      <c r="U390" s="6">
        <v>39</v>
      </c>
      <c r="V390" s="6">
        <f>IF(ISERROR(VLOOKUP($S$390,'TAR FIN'!$A$1:$O$85,15,0)),0,VLOOKUP($S$390,'TAR FIN'!$A$1:$O$85,15,0))</f>
        <v>0</v>
      </c>
      <c r="W390" s="6">
        <f>IF(ISERROR(VLOOKUP($T$390,'TAR FIN'!$A$1:$O$85,15,0)),0,VLOOKUP($T$390,'TAR FIN'!$A$1:$O$85,15,0))</f>
        <v>442.96</v>
      </c>
      <c r="X390" s="6">
        <f>IF(ISERROR(VLOOKUP($U$390,'TAR FIN'!$A$1:$O$85,15,0)),0,VLOOKUP($U$390,'TAR FIN'!$A$1:$O$85,15,0))</f>
        <v>185.74</v>
      </c>
      <c r="Y390" s="6"/>
      <c r="Z390" s="6">
        <f ca="1">('TUSD BE'!$AM$48+'TUSD BF'!$AM$48+'TUSD CVA'!$AM$48)*1</f>
        <v>519.26043781347539</v>
      </c>
      <c r="AA390" s="6">
        <f>('TE BE'!$AB$39+'TE BF'!$AB$39+'TE CVA'!$AB$39)*1</f>
        <v>166.7634981586946</v>
      </c>
      <c r="AB390" s="6">
        <f>$K$390*$V$390</f>
        <v>0</v>
      </c>
      <c r="AC390" s="6">
        <f>$M$390*$W$390</f>
        <v>13.288799999999998</v>
      </c>
      <c r="AD390" s="6">
        <f>$O$390*$X$390</f>
        <v>5.5722000000000005</v>
      </c>
      <c r="AE390" s="6">
        <f>$K$390*$Y$390</f>
        <v>0</v>
      </c>
      <c r="AF390" s="6">
        <f ca="1">$M$390*$Z$390</f>
        <v>15.577813134404261</v>
      </c>
      <c r="AG390" s="6">
        <f>$O$390*$AA$390</f>
        <v>5.0029049447608376</v>
      </c>
    </row>
    <row r="391" spans="1:33" ht="11.25" customHeight="1" x14ac:dyDescent="0.3">
      <c r="A391" s="4" t="s">
        <v>21</v>
      </c>
      <c r="B391" s="4" t="s">
        <v>35</v>
      </c>
      <c r="C391" s="4" t="s">
        <v>23</v>
      </c>
      <c r="D391" s="4" t="s">
        <v>50</v>
      </c>
      <c r="E391" s="4" t="s">
        <v>53</v>
      </c>
      <c r="F391" s="4" t="s">
        <v>25</v>
      </c>
      <c r="G391" s="4" t="s">
        <v>25</v>
      </c>
      <c r="H391" s="4" t="s">
        <v>25</v>
      </c>
      <c r="I391" s="5">
        <v>44682</v>
      </c>
      <c r="J391" s="6">
        <v>0</v>
      </c>
      <c r="K391" s="6">
        <v>0</v>
      </c>
      <c r="L391" s="6">
        <v>3.3000000000000002E-2</v>
      </c>
      <c r="M391" s="6">
        <v>3.3000000000000002E-2</v>
      </c>
      <c r="N391" s="6">
        <v>3.3000000000000002E-2</v>
      </c>
      <c r="O391" s="6">
        <v>3.3000000000000002E-2</v>
      </c>
      <c r="P391" s="6">
        <v>1</v>
      </c>
      <c r="Q391" s="4" t="s">
        <v>26</v>
      </c>
      <c r="R391" s="4">
        <v>0</v>
      </c>
      <c r="S391" s="6">
        <v>0</v>
      </c>
      <c r="T391" s="6">
        <v>67</v>
      </c>
      <c r="U391" s="6">
        <v>39</v>
      </c>
      <c r="V391" s="6">
        <f>IF(ISERROR(VLOOKUP($S$391,'TAR FIN'!$A$1:$O$85,15,0)),0,VLOOKUP($S$391,'TAR FIN'!$A$1:$O$85,15,0))</f>
        <v>0</v>
      </c>
      <c r="W391" s="6">
        <f>IF(ISERROR(VLOOKUP($T$391,'TAR FIN'!$A$1:$O$85,15,0)),0,VLOOKUP($T$391,'TAR FIN'!$A$1:$O$85,15,0))</f>
        <v>442.96</v>
      </c>
      <c r="X391" s="6">
        <f>IF(ISERROR(VLOOKUP($U$391,'TAR FIN'!$A$1:$O$85,15,0)),0,VLOOKUP($U$391,'TAR FIN'!$A$1:$O$85,15,0))</f>
        <v>185.74</v>
      </c>
      <c r="Y391" s="6"/>
      <c r="Z391" s="6">
        <f ca="1">('TUSD BE'!$AM$48+'TUSD BF'!$AM$48+'TUSD CVA'!$AM$48)*1</f>
        <v>519.26043781347539</v>
      </c>
      <c r="AA391" s="6">
        <f>('TE BE'!$AB$39+'TE BF'!$AB$39+'TE CVA'!$AB$39)*1</f>
        <v>166.7634981586946</v>
      </c>
      <c r="AB391" s="6">
        <f>$K$391*$V$391</f>
        <v>0</v>
      </c>
      <c r="AC391" s="6">
        <f>$M$391*$W$391</f>
        <v>14.61768</v>
      </c>
      <c r="AD391" s="6">
        <f>$O$391*$X$391</f>
        <v>6.1294200000000005</v>
      </c>
      <c r="AE391" s="6">
        <f>$K$391*$Y$391</f>
        <v>0</v>
      </c>
      <c r="AF391" s="6">
        <f ca="1">$M$391*$Z$391</f>
        <v>17.135594447844689</v>
      </c>
      <c r="AG391" s="6">
        <f>$O$391*$AA$391</f>
        <v>5.5031954392369222</v>
      </c>
    </row>
    <row r="392" spans="1:33" ht="11.25" customHeight="1" x14ac:dyDescent="0.3">
      <c r="A392" s="4" t="s">
        <v>21</v>
      </c>
      <c r="B392" s="4" t="s">
        <v>35</v>
      </c>
      <c r="C392" s="4" t="s">
        <v>23</v>
      </c>
      <c r="D392" s="4" t="s">
        <v>50</v>
      </c>
      <c r="E392" s="4" t="s">
        <v>53</v>
      </c>
      <c r="F392" s="4" t="s">
        <v>25</v>
      </c>
      <c r="G392" s="4" t="s">
        <v>25</v>
      </c>
      <c r="H392" s="4" t="s">
        <v>25</v>
      </c>
      <c r="I392" s="5">
        <v>44713</v>
      </c>
      <c r="J392" s="6">
        <v>0</v>
      </c>
      <c r="K392" s="6">
        <v>0</v>
      </c>
      <c r="L392" s="6">
        <v>3.4000000000000002E-2</v>
      </c>
      <c r="M392" s="6">
        <v>3.4000000000000002E-2</v>
      </c>
      <c r="N392" s="6">
        <v>3.4000000000000002E-2</v>
      </c>
      <c r="O392" s="6">
        <v>3.4000000000000002E-2</v>
      </c>
      <c r="P392" s="6">
        <v>1</v>
      </c>
      <c r="Q392" s="4" t="s">
        <v>26</v>
      </c>
      <c r="R392" s="4">
        <v>0</v>
      </c>
      <c r="S392" s="6">
        <v>0</v>
      </c>
      <c r="T392" s="6">
        <v>67</v>
      </c>
      <c r="U392" s="6">
        <v>39</v>
      </c>
      <c r="V392" s="6">
        <f>IF(ISERROR(VLOOKUP($S$392,'TAR FIN'!$A$1:$O$85,15,0)),0,VLOOKUP($S$392,'TAR FIN'!$A$1:$O$85,15,0))</f>
        <v>0</v>
      </c>
      <c r="W392" s="6">
        <f>IF(ISERROR(VLOOKUP($T$392,'TAR FIN'!$A$1:$O$85,15,0)),0,VLOOKUP($T$392,'TAR FIN'!$A$1:$O$85,15,0))</f>
        <v>442.96</v>
      </c>
      <c r="X392" s="6">
        <f>IF(ISERROR(VLOOKUP($U$392,'TAR FIN'!$A$1:$O$85,15,0)),0,VLOOKUP($U$392,'TAR FIN'!$A$1:$O$85,15,0))</f>
        <v>185.74</v>
      </c>
      <c r="Y392" s="6"/>
      <c r="Z392" s="6">
        <f ca="1">('TUSD BE'!$AM$48+'TUSD BF'!$AM$48+'TUSD CVA'!$AM$48)*1</f>
        <v>519.26043781347539</v>
      </c>
      <c r="AA392" s="6">
        <f>('TE BE'!$AB$39+'TE BF'!$AB$39+'TE CVA'!$AB$39)*1</f>
        <v>166.7634981586946</v>
      </c>
      <c r="AB392" s="6">
        <f>$K$392*$V$392</f>
        <v>0</v>
      </c>
      <c r="AC392" s="6">
        <f>$M$392*$W$392</f>
        <v>15.060640000000001</v>
      </c>
      <c r="AD392" s="6">
        <f>$O$392*$X$392</f>
        <v>6.3151600000000006</v>
      </c>
      <c r="AE392" s="6">
        <f>$K$392*$Y$392</f>
        <v>0</v>
      </c>
      <c r="AF392" s="6">
        <f ca="1">$M$392*$Z$392</f>
        <v>17.654854885658164</v>
      </c>
      <c r="AG392" s="6">
        <f>$O$392*$AA$392</f>
        <v>5.6699589373956165</v>
      </c>
    </row>
    <row r="393" spans="1:33" ht="11.25" customHeight="1" x14ac:dyDescent="0.3">
      <c r="A393" s="4" t="s">
        <v>21</v>
      </c>
      <c r="B393" s="4" t="s">
        <v>35</v>
      </c>
      <c r="C393" s="4" t="s">
        <v>23</v>
      </c>
      <c r="D393" s="4" t="s">
        <v>50</v>
      </c>
      <c r="E393" s="4" t="s">
        <v>53</v>
      </c>
      <c r="F393" s="4" t="s">
        <v>25</v>
      </c>
      <c r="G393" s="4" t="s">
        <v>25</v>
      </c>
      <c r="H393" s="4" t="s">
        <v>25</v>
      </c>
      <c r="I393" s="5">
        <v>44743</v>
      </c>
      <c r="J393" s="6">
        <v>0</v>
      </c>
      <c r="K393" s="6">
        <v>0</v>
      </c>
      <c r="L393" s="6">
        <v>3.5999999999999997E-2</v>
      </c>
      <c r="M393" s="6">
        <v>3.5999999999999997E-2</v>
      </c>
      <c r="N393" s="6">
        <v>3.5999999999999997E-2</v>
      </c>
      <c r="O393" s="6">
        <v>3.5999999999999997E-2</v>
      </c>
      <c r="P393" s="6">
        <v>1</v>
      </c>
      <c r="Q393" s="4" t="s">
        <v>26</v>
      </c>
      <c r="R393" s="4">
        <v>0</v>
      </c>
      <c r="S393" s="6">
        <v>0</v>
      </c>
      <c r="T393" s="6">
        <v>67</v>
      </c>
      <c r="U393" s="6">
        <v>39</v>
      </c>
      <c r="V393" s="6">
        <f>IF(ISERROR(VLOOKUP($S$393,'TAR FIN'!$A$1:$O$85,15,0)),0,VLOOKUP($S$393,'TAR FIN'!$A$1:$O$85,15,0))</f>
        <v>0</v>
      </c>
      <c r="W393" s="6">
        <f>IF(ISERROR(VLOOKUP($T$393,'TAR FIN'!$A$1:$O$85,15,0)),0,VLOOKUP($T$393,'TAR FIN'!$A$1:$O$85,15,0))</f>
        <v>442.96</v>
      </c>
      <c r="X393" s="6">
        <f>IF(ISERROR(VLOOKUP($U$393,'TAR FIN'!$A$1:$O$85,15,0)),0,VLOOKUP($U$393,'TAR FIN'!$A$1:$O$85,15,0))</f>
        <v>185.74</v>
      </c>
      <c r="Y393" s="6"/>
      <c r="Z393" s="6">
        <f ca="1">('TUSD BE'!$AM$48+'TUSD BF'!$AM$48+'TUSD CVA'!$AM$48)*1</f>
        <v>519.26043781347539</v>
      </c>
      <c r="AA393" s="6">
        <f>('TE BE'!$AB$39+'TE BF'!$AB$39+'TE CVA'!$AB$39)*1</f>
        <v>166.7634981586946</v>
      </c>
      <c r="AB393" s="6">
        <f>$K$393*$V$393</f>
        <v>0</v>
      </c>
      <c r="AC393" s="6">
        <f>$M$393*$W$393</f>
        <v>15.946559999999998</v>
      </c>
      <c r="AD393" s="6">
        <f>$O$393*$X$393</f>
        <v>6.6866399999999997</v>
      </c>
      <c r="AE393" s="6">
        <f>$K$393*$Y$393</f>
        <v>0</v>
      </c>
      <c r="AF393" s="6">
        <f ca="1">$M$393*$Z$393</f>
        <v>18.693375761285111</v>
      </c>
      <c r="AG393" s="6">
        <f>$O$393*$AA$393</f>
        <v>6.0034859337130051</v>
      </c>
    </row>
    <row r="394" spans="1:33" ht="11.25" customHeight="1" x14ac:dyDescent="0.3">
      <c r="A394" s="4" t="s">
        <v>21</v>
      </c>
      <c r="B394" s="4" t="s">
        <v>35</v>
      </c>
      <c r="C394" s="4" t="s">
        <v>23</v>
      </c>
      <c r="D394" s="4" t="s">
        <v>50</v>
      </c>
      <c r="E394" s="4" t="s">
        <v>53</v>
      </c>
      <c r="F394" s="4" t="s">
        <v>25</v>
      </c>
      <c r="G394" s="4" t="s">
        <v>25</v>
      </c>
      <c r="H394" s="4" t="s">
        <v>25</v>
      </c>
      <c r="I394" s="5">
        <v>44774</v>
      </c>
      <c r="J394" s="6">
        <v>0</v>
      </c>
      <c r="K394" s="6">
        <v>0</v>
      </c>
      <c r="L394" s="6">
        <v>7.4999999999999997E-2</v>
      </c>
      <c r="M394" s="6">
        <v>7.4999999999999997E-2</v>
      </c>
      <c r="N394" s="6">
        <v>7.4999999999999997E-2</v>
      </c>
      <c r="O394" s="6">
        <v>7.4999999999999997E-2</v>
      </c>
      <c r="P394" s="6">
        <v>1</v>
      </c>
      <c r="Q394" s="4" t="s">
        <v>26</v>
      </c>
      <c r="R394" s="4">
        <v>0</v>
      </c>
      <c r="S394" s="6">
        <v>0</v>
      </c>
      <c r="T394" s="6">
        <v>67</v>
      </c>
      <c r="U394" s="6">
        <v>39</v>
      </c>
      <c r="V394" s="6">
        <f>IF(ISERROR(VLOOKUP($S$394,'TAR FIN'!$A$1:$O$85,15,0)),0,VLOOKUP($S$394,'TAR FIN'!$A$1:$O$85,15,0))</f>
        <v>0</v>
      </c>
      <c r="W394" s="6">
        <f>IF(ISERROR(VLOOKUP($T$394,'TAR FIN'!$A$1:$O$85,15,0)),0,VLOOKUP($T$394,'TAR FIN'!$A$1:$O$85,15,0))</f>
        <v>442.96</v>
      </c>
      <c r="X394" s="6">
        <f>IF(ISERROR(VLOOKUP($U$394,'TAR FIN'!$A$1:$O$85,15,0)),0,VLOOKUP($U$394,'TAR FIN'!$A$1:$O$85,15,0))</f>
        <v>185.74</v>
      </c>
      <c r="Y394" s="6"/>
      <c r="Z394" s="6">
        <f ca="1">('TUSD BE'!$AM$48+'TUSD BF'!$AM$48+'TUSD CVA'!$AM$48)*1</f>
        <v>519.26043781347539</v>
      </c>
      <c r="AA394" s="6">
        <f>('TE BE'!$AB$39+'TE BF'!$AB$39+'TE CVA'!$AB$39)*1</f>
        <v>166.7634981586946</v>
      </c>
      <c r="AB394" s="6">
        <f>$K$394*$V$394</f>
        <v>0</v>
      </c>
      <c r="AC394" s="6">
        <f>$M$394*$W$394</f>
        <v>33.221999999999994</v>
      </c>
      <c r="AD394" s="6">
        <f>$O$394*$X$394</f>
        <v>13.9305</v>
      </c>
      <c r="AE394" s="6">
        <f>$K$394*$Y$394</f>
        <v>0</v>
      </c>
      <c r="AF394" s="6">
        <f ca="1">$M$394*$Z$394</f>
        <v>38.944532836010652</v>
      </c>
      <c r="AG394" s="6">
        <f>$O$394*$AA$394</f>
        <v>12.507262361902095</v>
      </c>
    </row>
    <row r="395" spans="1:33" ht="11.25" customHeight="1" x14ac:dyDescent="0.3">
      <c r="A395" s="4" t="s">
        <v>21</v>
      </c>
      <c r="B395" s="4" t="s">
        <v>46</v>
      </c>
      <c r="C395" s="4" t="s">
        <v>23</v>
      </c>
      <c r="D395" s="4" t="s">
        <v>47</v>
      </c>
      <c r="E395" s="4" t="s">
        <v>48</v>
      </c>
      <c r="F395" s="4" t="s">
        <v>25</v>
      </c>
      <c r="G395" s="4" t="s">
        <v>25</v>
      </c>
      <c r="H395" s="4" t="s">
        <v>25</v>
      </c>
      <c r="I395" s="5">
        <v>44440</v>
      </c>
      <c r="J395" s="6">
        <v>0</v>
      </c>
      <c r="K395" s="6">
        <v>0</v>
      </c>
      <c r="L395" s="6">
        <v>191.27699999999999</v>
      </c>
      <c r="M395" s="6">
        <v>191.27699999999999</v>
      </c>
      <c r="N395" s="6">
        <v>191.27699999999999</v>
      </c>
      <c r="O395" s="6">
        <v>191.27699999999999</v>
      </c>
      <c r="P395" s="6">
        <v>9</v>
      </c>
      <c r="Q395" s="4" t="s">
        <v>26</v>
      </c>
      <c r="R395" s="4">
        <v>0</v>
      </c>
      <c r="S395" s="6">
        <v>0</v>
      </c>
      <c r="T395" s="6">
        <v>69</v>
      </c>
      <c r="U395" s="6">
        <v>43</v>
      </c>
      <c r="V395" s="6">
        <f>IF(ISERROR(VLOOKUP($S$395,'TAR FIN'!$A$1:$O$85,15,0)),0,VLOOKUP($S$395,'TAR FIN'!$A$1:$O$85,15,0))</f>
        <v>0</v>
      </c>
      <c r="W395" s="6">
        <f>IF(ISERROR(VLOOKUP($T$395,'TAR FIN'!$A$1:$O$85,15,0)),0,VLOOKUP($T$395,'TAR FIN'!$A$1:$O$85,15,0))</f>
        <v>243.63</v>
      </c>
      <c r="X395" s="6">
        <f>IF(ISERROR(VLOOKUP($U$395,'TAR FIN'!$A$1:$O$85,15,0)),0,VLOOKUP($U$395,'TAR FIN'!$A$1:$O$85,15,0))</f>
        <v>102.16</v>
      </c>
      <c r="Y395" s="6"/>
      <c r="Z395" s="6">
        <f ca="1">('TUSD BE'!$AM$50+'TUSD BF'!$AM$50+'TUSD CVA'!$AM$50)*1</f>
        <v>285.59324079741151</v>
      </c>
      <c r="AA395" s="6">
        <f>('TE BE'!$AB$41+'TE BF'!$AB$41+'TE CVA'!$AB$41)*1</f>
        <v>91.719923987282044</v>
      </c>
      <c r="AB395" s="6">
        <f>$K$395*$V$395</f>
        <v>0</v>
      </c>
      <c r="AC395" s="6">
        <f>$M$395*$W$395</f>
        <v>46600.815509999993</v>
      </c>
      <c r="AD395" s="6">
        <f>$O$395*$X$395</f>
        <v>19540.858319999999</v>
      </c>
      <c r="AE395" s="6">
        <f>$K$395*$Y$395</f>
        <v>0</v>
      </c>
      <c r="AF395" s="6">
        <f ca="1">$M$395*$Z$395</f>
        <v>54627.41832000648</v>
      </c>
      <c r="AG395" s="6">
        <f>$O$395*$AA$395</f>
        <v>17543.911900515348</v>
      </c>
    </row>
    <row r="396" spans="1:33" ht="11.25" customHeight="1" x14ac:dyDescent="0.3">
      <c r="A396" s="4" t="s">
        <v>21</v>
      </c>
      <c r="B396" s="4" t="s">
        <v>46</v>
      </c>
      <c r="C396" s="4" t="s">
        <v>23</v>
      </c>
      <c r="D396" s="4" t="s">
        <v>47</v>
      </c>
      <c r="E396" s="4" t="s">
        <v>48</v>
      </c>
      <c r="F396" s="4" t="s">
        <v>25</v>
      </c>
      <c r="G396" s="4" t="s">
        <v>25</v>
      </c>
      <c r="H396" s="4" t="s">
        <v>25</v>
      </c>
      <c r="I396" s="5">
        <v>44470</v>
      </c>
      <c r="J396" s="6">
        <v>0</v>
      </c>
      <c r="K396" s="6">
        <v>0</v>
      </c>
      <c r="L396" s="6">
        <v>191.27699999999999</v>
      </c>
      <c r="M396" s="6">
        <v>191.27699999999999</v>
      </c>
      <c r="N396" s="6">
        <v>191.27699999999999</v>
      </c>
      <c r="O396" s="6">
        <v>191.27699999999999</v>
      </c>
      <c r="P396" s="6">
        <v>9</v>
      </c>
      <c r="Q396" s="4" t="s">
        <v>26</v>
      </c>
      <c r="R396" s="4">
        <v>0</v>
      </c>
      <c r="S396" s="6">
        <v>0</v>
      </c>
      <c r="T396" s="6">
        <v>69</v>
      </c>
      <c r="U396" s="6">
        <v>43</v>
      </c>
      <c r="V396" s="6">
        <f>IF(ISERROR(VLOOKUP($S$396,'TAR FIN'!$A$1:$O$85,15,0)),0,VLOOKUP($S$396,'TAR FIN'!$A$1:$O$85,15,0))</f>
        <v>0</v>
      </c>
      <c r="W396" s="6">
        <f>IF(ISERROR(VLOOKUP($T$396,'TAR FIN'!$A$1:$O$85,15,0)),0,VLOOKUP($T$396,'TAR FIN'!$A$1:$O$85,15,0))</f>
        <v>243.63</v>
      </c>
      <c r="X396" s="6">
        <f>IF(ISERROR(VLOOKUP($U$396,'TAR FIN'!$A$1:$O$85,15,0)),0,VLOOKUP($U$396,'TAR FIN'!$A$1:$O$85,15,0))</f>
        <v>102.16</v>
      </c>
      <c r="Y396" s="6"/>
      <c r="Z396" s="6">
        <f ca="1">('TUSD BE'!$AM$50+'TUSD BF'!$AM$50+'TUSD CVA'!$AM$50)*1</f>
        <v>285.59324079741151</v>
      </c>
      <c r="AA396" s="6">
        <f>('TE BE'!$AB$41+'TE BF'!$AB$41+'TE CVA'!$AB$41)*1</f>
        <v>91.719923987282044</v>
      </c>
      <c r="AB396" s="6">
        <f>$K$396*$V$396</f>
        <v>0</v>
      </c>
      <c r="AC396" s="6">
        <f>$M$396*$W$396</f>
        <v>46600.815509999993</v>
      </c>
      <c r="AD396" s="6">
        <f>$O$396*$X$396</f>
        <v>19540.858319999999</v>
      </c>
      <c r="AE396" s="6">
        <f>$K$396*$Y$396</f>
        <v>0</v>
      </c>
      <c r="AF396" s="6">
        <f ca="1">$M$396*$Z$396</f>
        <v>54627.41832000648</v>
      </c>
      <c r="AG396" s="6">
        <f>$O$396*$AA$396</f>
        <v>17543.911900515348</v>
      </c>
    </row>
    <row r="397" spans="1:33" ht="11.25" customHeight="1" x14ac:dyDescent="0.3">
      <c r="A397" s="4" t="s">
        <v>21</v>
      </c>
      <c r="B397" s="4" t="s">
        <v>46</v>
      </c>
      <c r="C397" s="4" t="s">
        <v>23</v>
      </c>
      <c r="D397" s="4" t="s">
        <v>47</v>
      </c>
      <c r="E397" s="4" t="s">
        <v>48</v>
      </c>
      <c r="F397" s="4" t="s">
        <v>25</v>
      </c>
      <c r="G397" s="4" t="s">
        <v>25</v>
      </c>
      <c r="H397" s="4" t="s">
        <v>25</v>
      </c>
      <c r="I397" s="5">
        <v>44501</v>
      </c>
      <c r="J397" s="6">
        <v>0</v>
      </c>
      <c r="K397" s="6">
        <v>0</v>
      </c>
      <c r="L397" s="6">
        <v>191.27699999999999</v>
      </c>
      <c r="M397" s="6">
        <v>191.27699999999999</v>
      </c>
      <c r="N397" s="6">
        <v>191.27699999999999</v>
      </c>
      <c r="O397" s="6">
        <v>191.27699999999999</v>
      </c>
      <c r="P397" s="6">
        <v>9</v>
      </c>
      <c r="Q397" s="4" t="s">
        <v>26</v>
      </c>
      <c r="R397" s="4">
        <v>0</v>
      </c>
      <c r="S397" s="6">
        <v>0</v>
      </c>
      <c r="T397" s="6">
        <v>69</v>
      </c>
      <c r="U397" s="6">
        <v>43</v>
      </c>
      <c r="V397" s="6">
        <f>IF(ISERROR(VLOOKUP($S$397,'TAR FIN'!$A$1:$O$85,15,0)),0,VLOOKUP($S$397,'TAR FIN'!$A$1:$O$85,15,0))</f>
        <v>0</v>
      </c>
      <c r="W397" s="6">
        <f>IF(ISERROR(VLOOKUP($T$397,'TAR FIN'!$A$1:$O$85,15,0)),0,VLOOKUP($T$397,'TAR FIN'!$A$1:$O$85,15,0))</f>
        <v>243.63</v>
      </c>
      <c r="X397" s="6">
        <f>IF(ISERROR(VLOOKUP($U$397,'TAR FIN'!$A$1:$O$85,15,0)),0,VLOOKUP($U$397,'TAR FIN'!$A$1:$O$85,15,0))</f>
        <v>102.16</v>
      </c>
      <c r="Y397" s="6"/>
      <c r="Z397" s="6">
        <f ca="1">('TUSD BE'!$AM$50+'TUSD BF'!$AM$50+'TUSD CVA'!$AM$50)*1</f>
        <v>285.59324079741151</v>
      </c>
      <c r="AA397" s="6">
        <f>('TE BE'!$AB$41+'TE BF'!$AB$41+'TE CVA'!$AB$41)*1</f>
        <v>91.719923987282044</v>
      </c>
      <c r="AB397" s="6">
        <f>$K$397*$V$397</f>
        <v>0</v>
      </c>
      <c r="AC397" s="6">
        <f>$M$397*$W$397</f>
        <v>46600.815509999993</v>
      </c>
      <c r="AD397" s="6">
        <f>$O$397*$X$397</f>
        <v>19540.858319999999</v>
      </c>
      <c r="AE397" s="6">
        <f>$K$397*$Y$397</f>
        <v>0</v>
      </c>
      <c r="AF397" s="6">
        <f ca="1">$M$397*$Z$397</f>
        <v>54627.41832000648</v>
      </c>
      <c r="AG397" s="6">
        <f>$O$397*$AA$397</f>
        <v>17543.911900515348</v>
      </c>
    </row>
    <row r="398" spans="1:33" ht="11.25" customHeight="1" x14ac:dyDescent="0.3">
      <c r="A398" s="4" t="s">
        <v>21</v>
      </c>
      <c r="B398" s="4" t="s">
        <v>46</v>
      </c>
      <c r="C398" s="4" t="s">
        <v>23</v>
      </c>
      <c r="D398" s="4" t="s">
        <v>47</v>
      </c>
      <c r="E398" s="4" t="s">
        <v>48</v>
      </c>
      <c r="F398" s="4" t="s">
        <v>25</v>
      </c>
      <c r="G398" s="4" t="s">
        <v>25</v>
      </c>
      <c r="H398" s="4" t="s">
        <v>25</v>
      </c>
      <c r="I398" s="5">
        <v>44531</v>
      </c>
      <c r="J398" s="6">
        <v>0</v>
      </c>
      <c r="K398" s="6">
        <v>0</v>
      </c>
      <c r="L398" s="6">
        <v>191.27699999999999</v>
      </c>
      <c r="M398" s="6">
        <v>191.27699999999999</v>
      </c>
      <c r="N398" s="6">
        <v>191.27699999999999</v>
      </c>
      <c r="O398" s="6">
        <v>191.27699999999999</v>
      </c>
      <c r="P398" s="6">
        <v>9</v>
      </c>
      <c r="Q398" s="4" t="s">
        <v>26</v>
      </c>
      <c r="R398" s="4">
        <v>0</v>
      </c>
      <c r="S398" s="6">
        <v>0</v>
      </c>
      <c r="T398" s="6">
        <v>69</v>
      </c>
      <c r="U398" s="6">
        <v>43</v>
      </c>
      <c r="V398" s="6">
        <f>IF(ISERROR(VLOOKUP($S$398,'TAR FIN'!$A$1:$O$85,15,0)),0,VLOOKUP($S$398,'TAR FIN'!$A$1:$O$85,15,0))</f>
        <v>0</v>
      </c>
      <c r="W398" s="6">
        <f>IF(ISERROR(VLOOKUP($T$398,'TAR FIN'!$A$1:$O$85,15,0)),0,VLOOKUP($T$398,'TAR FIN'!$A$1:$O$85,15,0))</f>
        <v>243.63</v>
      </c>
      <c r="X398" s="6">
        <f>IF(ISERROR(VLOOKUP($U$398,'TAR FIN'!$A$1:$O$85,15,0)),0,VLOOKUP($U$398,'TAR FIN'!$A$1:$O$85,15,0))</f>
        <v>102.16</v>
      </c>
      <c r="Y398" s="6"/>
      <c r="Z398" s="6">
        <f ca="1">('TUSD BE'!$AM$50+'TUSD BF'!$AM$50+'TUSD CVA'!$AM$50)*1</f>
        <v>285.59324079741151</v>
      </c>
      <c r="AA398" s="6">
        <f>('TE BE'!$AB$41+'TE BF'!$AB$41+'TE CVA'!$AB$41)*1</f>
        <v>91.719923987282044</v>
      </c>
      <c r="AB398" s="6">
        <f>$K$398*$V$398</f>
        <v>0</v>
      </c>
      <c r="AC398" s="6">
        <f>$M$398*$W$398</f>
        <v>46600.815509999993</v>
      </c>
      <c r="AD398" s="6">
        <f>$O$398*$X$398</f>
        <v>19540.858319999999</v>
      </c>
      <c r="AE398" s="6">
        <f>$K$398*$Y$398</f>
        <v>0</v>
      </c>
      <c r="AF398" s="6">
        <f ca="1">$M$398*$Z$398</f>
        <v>54627.41832000648</v>
      </c>
      <c r="AG398" s="6">
        <f>$O$398*$AA$398</f>
        <v>17543.911900515348</v>
      </c>
    </row>
    <row r="399" spans="1:33" ht="11.25" customHeight="1" x14ac:dyDescent="0.3">
      <c r="A399" s="4" t="s">
        <v>21</v>
      </c>
      <c r="B399" s="4" t="s">
        <v>46</v>
      </c>
      <c r="C399" s="4" t="s">
        <v>23</v>
      </c>
      <c r="D399" s="4" t="s">
        <v>47</v>
      </c>
      <c r="E399" s="4" t="s">
        <v>48</v>
      </c>
      <c r="F399" s="4" t="s">
        <v>25</v>
      </c>
      <c r="G399" s="4" t="s">
        <v>25</v>
      </c>
      <c r="H399" s="4" t="s">
        <v>25</v>
      </c>
      <c r="I399" s="5">
        <v>44562</v>
      </c>
      <c r="J399" s="6">
        <v>0</v>
      </c>
      <c r="K399" s="6">
        <v>0</v>
      </c>
      <c r="L399" s="6">
        <v>191.27699999999999</v>
      </c>
      <c r="M399" s="6">
        <v>191.27699999999999</v>
      </c>
      <c r="N399" s="6">
        <v>191.27699999999999</v>
      </c>
      <c r="O399" s="6">
        <v>191.27699999999999</v>
      </c>
      <c r="P399" s="6">
        <v>9</v>
      </c>
      <c r="Q399" s="4" t="s">
        <v>26</v>
      </c>
      <c r="R399" s="4">
        <v>0</v>
      </c>
      <c r="S399" s="6">
        <v>0</v>
      </c>
      <c r="T399" s="6">
        <v>69</v>
      </c>
      <c r="U399" s="6">
        <v>43</v>
      </c>
      <c r="V399" s="6">
        <f>IF(ISERROR(VLOOKUP($S$399,'TAR FIN'!$A$1:$O$85,15,0)),0,VLOOKUP($S$399,'TAR FIN'!$A$1:$O$85,15,0))</f>
        <v>0</v>
      </c>
      <c r="W399" s="6">
        <f>IF(ISERROR(VLOOKUP($T$399,'TAR FIN'!$A$1:$O$85,15,0)),0,VLOOKUP($T$399,'TAR FIN'!$A$1:$O$85,15,0))</f>
        <v>243.63</v>
      </c>
      <c r="X399" s="6">
        <f>IF(ISERROR(VLOOKUP($U$399,'TAR FIN'!$A$1:$O$85,15,0)),0,VLOOKUP($U$399,'TAR FIN'!$A$1:$O$85,15,0))</f>
        <v>102.16</v>
      </c>
      <c r="Y399" s="6"/>
      <c r="Z399" s="6">
        <f ca="1">('TUSD BE'!$AM$50+'TUSD BF'!$AM$50+'TUSD CVA'!$AM$50)*1</f>
        <v>285.59324079741151</v>
      </c>
      <c r="AA399" s="6">
        <f>('TE BE'!$AB$41+'TE BF'!$AB$41+'TE CVA'!$AB$41)*1</f>
        <v>91.719923987282044</v>
      </c>
      <c r="AB399" s="6">
        <f>$K$399*$V$399</f>
        <v>0</v>
      </c>
      <c r="AC399" s="6">
        <f>$M$399*$W$399</f>
        <v>46600.815509999993</v>
      </c>
      <c r="AD399" s="6">
        <f>$O$399*$X$399</f>
        <v>19540.858319999999</v>
      </c>
      <c r="AE399" s="6">
        <f>$K$399*$Y$399</f>
        <v>0</v>
      </c>
      <c r="AF399" s="6">
        <f ca="1">$M$399*$Z$399</f>
        <v>54627.41832000648</v>
      </c>
      <c r="AG399" s="6">
        <f>$O$399*$AA$399</f>
        <v>17543.911900515348</v>
      </c>
    </row>
    <row r="400" spans="1:33" ht="11.25" customHeight="1" x14ac:dyDescent="0.3">
      <c r="A400" s="4" t="s">
        <v>21</v>
      </c>
      <c r="B400" s="4" t="s">
        <v>46</v>
      </c>
      <c r="C400" s="4" t="s">
        <v>23</v>
      </c>
      <c r="D400" s="4" t="s">
        <v>47</v>
      </c>
      <c r="E400" s="4" t="s">
        <v>48</v>
      </c>
      <c r="F400" s="4" t="s">
        <v>25</v>
      </c>
      <c r="G400" s="4" t="s">
        <v>25</v>
      </c>
      <c r="H400" s="4" t="s">
        <v>25</v>
      </c>
      <c r="I400" s="5">
        <v>44593</v>
      </c>
      <c r="J400" s="6">
        <v>0</v>
      </c>
      <c r="K400" s="6">
        <v>0</v>
      </c>
      <c r="L400" s="6">
        <v>191.27699999999999</v>
      </c>
      <c r="M400" s="6">
        <v>191.27699999999999</v>
      </c>
      <c r="N400" s="6">
        <v>191.27699999999999</v>
      </c>
      <c r="O400" s="6">
        <v>191.27699999999999</v>
      </c>
      <c r="P400" s="6">
        <v>9</v>
      </c>
      <c r="Q400" s="4" t="s">
        <v>26</v>
      </c>
      <c r="R400" s="4">
        <v>0</v>
      </c>
      <c r="S400" s="6">
        <v>0</v>
      </c>
      <c r="T400" s="6">
        <v>69</v>
      </c>
      <c r="U400" s="6">
        <v>43</v>
      </c>
      <c r="V400" s="6">
        <f>IF(ISERROR(VLOOKUP($S$400,'TAR FIN'!$A$1:$O$85,15,0)),0,VLOOKUP($S$400,'TAR FIN'!$A$1:$O$85,15,0))</f>
        <v>0</v>
      </c>
      <c r="W400" s="6">
        <f>IF(ISERROR(VLOOKUP($T$400,'TAR FIN'!$A$1:$O$85,15,0)),0,VLOOKUP($T$400,'TAR FIN'!$A$1:$O$85,15,0))</f>
        <v>243.63</v>
      </c>
      <c r="X400" s="6">
        <f>IF(ISERROR(VLOOKUP($U$400,'TAR FIN'!$A$1:$O$85,15,0)),0,VLOOKUP($U$400,'TAR FIN'!$A$1:$O$85,15,0))</f>
        <v>102.16</v>
      </c>
      <c r="Y400" s="6"/>
      <c r="Z400" s="6">
        <f ca="1">('TUSD BE'!$AM$50+'TUSD BF'!$AM$50+'TUSD CVA'!$AM$50)*1</f>
        <v>285.59324079741151</v>
      </c>
      <c r="AA400" s="6">
        <f>('TE BE'!$AB$41+'TE BF'!$AB$41+'TE CVA'!$AB$41)*1</f>
        <v>91.719923987282044</v>
      </c>
      <c r="AB400" s="6">
        <f>$K$400*$V$400</f>
        <v>0</v>
      </c>
      <c r="AC400" s="6">
        <f>$M$400*$W$400</f>
        <v>46600.815509999993</v>
      </c>
      <c r="AD400" s="6">
        <f>$O$400*$X$400</f>
        <v>19540.858319999999</v>
      </c>
      <c r="AE400" s="6">
        <f>$K$400*$Y$400</f>
        <v>0</v>
      </c>
      <c r="AF400" s="6">
        <f ca="1">$M$400*$Z$400</f>
        <v>54627.41832000648</v>
      </c>
      <c r="AG400" s="6">
        <f>$O$400*$AA$400</f>
        <v>17543.911900515348</v>
      </c>
    </row>
    <row r="401" spans="1:33" ht="11.25" customHeight="1" x14ac:dyDescent="0.3">
      <c r="A401" s="4" t="s">
        <v>21</v>
      </c>
      <c r="B401" s="4" t="s">
        <v>46</v>
      </c>
      <c r="C401" s="4" t="s">
        <v>23</v>
      </c>
      <c r="D401" s="4" t="s">
        <v>47</v>
      </c>
      <c r="E401" s="4" t="s">
        <v>48</v>
      </c>
      <c r="F401" s="4" t="s">
        <v>25</v>
      </c>
      <c r="G401" s="4" t="s">
        <v>25</v>
      </c>
      <c r="H401" s="4" t="s">
        <v>25</v>
      </c>
      <c r="I401" s="5">
        <v>44621</v>
      </c>
      <c r="J401" s="6">
        <v>0</v>
      </c>
      <c r="K401" s="6">
        <v>0</v>
      </c>
      <c r="L401" s="6">
        <v>191.27699999999999</v>
      </c>
      <c r="M401" s="6">
        <v>191.27699999999999</v>
      </c>
      <c r="N401" s="6">
        <v>191.27699999999999</v>
      </c>
      <c r="O401" s="6">
        <v>191.27699999999999</v>
      </c>
      <c r="P401" s="6">
        <v>9</v>
      </c>
      <c r="Q401" s="4" t="s">
        <v>26</v>
      </c>
      <c r="R401" s="4">
        <v>0</v>
      </c>
      <c r="S401" s="6">
        <v>0</v>
      </c>
      <c r="T401" s="6">
        <v>69</v>
      </c>
      <c r="U401" s="6">
        <v>43</v>
      </c>
      <c r="V401" s="6">
        <f>IF(ISERROR(VLOOKUP($S$401,'TAR FIN'!$A$1:$O$85,15,0)),0,VLOOKUP($S$401,'TAR FIN'!$A$1:$O$85,15,0))</f>
        <v>0</v>
      </c>
      <c r="W401" s="6">
        <f>IF(ISERROR(VLOOKUP($T$401,'TAR FIN'!$A$1:$O$85,15,0)),0,VLOOKUP($T$401,'TAR FIN'!$A$1:$O$85,15,0))</f>
        <v>243.63</v>
      </c>
      <c r="X401" s="6">
        <f>IF(ISERROR(VLOOKUP($U$401,'TAR FIN'!$A$1:$O$85,15,0)),0,VLOOKUP($U$401,'TAR FIN'!$A$1:$O$85,15,0))</f>
        <v>102.16</v>
      </c>
      <c r="Y401" s="6"/>
      <c r="Z401" s="6">
        <f ca="1">('TUSD BE'!$AM$50+'TUSD BF'!$AM$50+'TUSD CVA'!$AM$50)*1</f>
        <v>285.59324079741151</v>
      </c>
      <c r="AA401" s="6">
        <f>('TE BE'!$AB$41+'TE BF'!$AB$41+'TE CVA'!$AB$41)*1</f>
        <v>91.719923987282044</v>
      </c>
      <c r="AB401" s="6">
        <f>$K$401*$V$401</f>
        <v>0</v>
      </c>
      <c r="AC401" s="6">
        <f>$M$401*$W$401</f>
        <v>46600.815509999993</v>
      </c>
      <c r="AD401" s="6">
        <f>$O$401*$X$401</f>
        <v>19540.858319999999</v>
      </c>
      <c r="AE401" s="6">
        <f>$K$401*$Y$401</f>
        <v>0</v>
      </c>
      <c r="AF401" s="6">
        <f ca="1">$M$401*$Z$401</f>
        <v>54627.41832000648</v>
      </c>
      <c r="AG401" s="6">
        <f>$O$401*$AA$401</f>
        <v>17543.911900515348</v>
      </c>
    </row>
    <row r="402" spans="1:33" ht="11.25" customHeight="1" x14ac:dyDescent="0.3">
      <c r="A402" s="4" t="s">
        <v>21</v>
      </c>
      <c r="B402" s="4" t="s">
        <v>46</v>
      </c>
      <c r="C402" s="4" t="s">
        <v>23</v>
      </c>
      <c r="D402" s="4" t="s">
        <v>47</v>
      </c>
      <c r="E402" s="4" t="s">
        <v>48</v>
      </c>
      <c r="F402" s="4" t="s">
        <v>25</v>
      </c>
      <c r="G402" s="4" t="s">
        <v>25</v>
      </c>
      <c r="H402" s="4" t="s">
        <v>25</v>
      </c>
      <c r="I402" s="5">
        <v>44652</v>
      </c>
      <c r="J402" s="6">
        <v>0</v>
      </c>
      <c r="K402" s="6">
        <v>0</v>
      </c>
      <c r="L402" s="6">
        <v>191.27699999999999</v>
      </c>
      <c r="M402" s="6">
        <v>191.27699999999999</v>
      </c>
      <c r="N402" s="6">
        <v>191.27699999999999</v>
      </c>
      <c r="O402" s="6">
        <v>191.27699999999999</v>
      </c>
      <c r="P402" s="6">
        <v>9</v>
      </c>
      <c r="Q402" s="4" t="s">
        <v>26</v>
      </c>
      <c r="R402" s="4">
        <v>0</v>
      </c>
      <c r="S402" s="6">
        <v>0</v>
      </c>
      <c r="T402" s="6">
        <v>69</v>
      </c>
      <c r="U402" s="6">
        <v>43</v>
      </c>
      <c r="V402" s="6">
        <f>IF(ISERROR(VLOOKUP($S$402,'TAR FIN'!$A$1:$O$85,15,0)),0,VLOOKUP($S$402,'TAR FIN'!$A$1:$O$85,15,0))</f>
        <v>0</v>
      </c>
      <c r="W402" s="6">
        <f>IF(ISERROR(VLOOKUP($T$402,'TAR FIN'!$A$1:$O$85,15,0)),0,VLOOKUP($T$402,'TAR FIN'!$A$1:$O$85,15,0))</f>
        <v>243.63</v>
      </c>
      <c r="X402" s="6">
        <f>IF(ISERROR(VLOOKUP($U$402,'TAR FIN'!$A$1:$O$85,15,0)),0,VLOOKUP($U$402,'TAR FIN'!$A$1:$O$85,15,0))</f>
        <v>102.16</v>
      </c>
      <c r="Y402" s="6"/>
      <c r="Z402" s="6">
        <f ca="1">('TUSD BE'!$AM$50+'TUSD BF'!$AM$50+'TUSD CVA'!$AM$50)*1</f>
        <v>285.59324079741151</v>
      </c>
      <c r="AA402" s="6">
        <f>('TE BE'!$AB$41+'TE BF'!$AB$41+'TE CVA'!$AB$41)*1</f>
        <v>91.719923987282044</v>
      </c>
      <c r="AB402" s="6">
        <f>$K$402*$V$402</f>
        <v>0</v>
      </c>
      <c r="AC402" s="6">
        <f>$M$402*$W$402</f>
        <v>46600.815509999993</v>
      </c>
      <c r="AD402" s="6">
        <f>$O$402*$X$402</f>
        <v>19540.858319999999</v>
      </c>
      <c r="AE402" s="6">
        <f>$K$402*$Y$402</f>
        <v>0</v>
      </c>
      <c r="AF402" s="6">
        <f ca="1">$M$402*$Z$402</f>
        <v>54627.41832000648</v>
      </c>
      <c r="AG402" s="6">
        <f>$O$402*$AA$402</f>
        <v>17543.911900515348</v>
      </c>
    </row>
    <row r="403" spans="1:33" ht="11.25" customHeight="1" x14ac:dyDescent="0.3">
      <c r="A403" s="4" t="s">
        <v>21</v>
      </c>
      <c r="B403" s="4" t="s">
        <v>46</v>
      </c>
      <c r="C403" s="4" t="s">
        <v>23</v>
      </c>
      <c r="D403" s="4" t="s">
        <v>47</v>
      </c>
      <c r="E403" s="4" t="s">
        <v>48</v>
      </c>
      <c r="F403" s="4" t="s">
        <v>25</v>
      </c>
      <c r="G403" s="4" t="s">
        <v>25</v>
      </c>
      <c r="H403" s="4" t="s">
        <v>25</v>
      </c>
      <c r="I403" s="5">
        <v>44682</v>
      </c>
      <c r="J403" s="6">
        <v>0</v>
      </c>
      <c r="K403" s="6">
        <v>0</v>
      </c>
      <c r="L403" s="6">
        <v>191.27699999999999</v>
      </c>
      <c r="M403" s="6">
        <v>191.27699999999999</v>
      </c>
      <c r="N403" s="6">
        <v>191.27699999999999</v>
      </c>
      <c r="O403" s="6">
        <v>191.27699999999999</v>
      </c>
      <c r="P403" s="6">
        <v>9</v>
      </c>
      <c r="Q403" s="4" t="s">
        <v>26</v>
      </c>
      <c r="R403" s="4">
        <v>0</v>
      </c>
      <c r="S403" s="6">
        <v>0</v>
      </c>
      <c r="T403" s="6">
        <v>69</v>
      </c>
      <c r="U403" s="6">
        <v>43</v>
      </c>
      <c r="V403" s="6">
        <f>IF(ISERROR(VLOOKUP($S$403,'TAR FIN'!$A$1:$O$85,15,0)),0,VLOOKUP($S$403,'TAR FIN'!$A$1:$O$85,15,0))</f>
        <v>0</v>
      </c>
      <c r="W403" s="6">
        <f>IF(ISERROR(VLOOKUP($T$403,'TAR FIN'!$A$1:$O$85,15,0)),0,VLOOKUP($T$403,'TAR FIN'!$A$1:$O$85,15,0))</f>
        <v>243.63</v>
      </c>
      <c r="X403" s="6">
        <f>IF(ISERROR(VLOOKUP($U$403,'TAR FIN'!$A$1:$O$85,15,0)),0,VLOOKUP($U$403,'TAR FIN'!$A$1:$O$85,15,0))</f>
        <v>102.16</v>
      </c>
      <c r="Y403" s="6"/>
      <c r="Z403" s="6">
        <f ca="1">('TUSD BE'!$AM$50+'TUSD BF'!$AM$50+'TUSD CVA'!$AM$50)*1</f>
        <v>285.59324079741151</v>
      </c>
      <c r="AA403" s="6">
        <f>('TE BE'!$AB$41+'TE BF'!$AB$41+'TE CVA'!$AB$41)*1</f>
        <v>91.719923987282044</v>
      </c>
      <c r="AB403" s="6">
        <f>$K$403*$V$403</f>
        <v>0</v>
      </c>
      <c r="AC403" s="6">
        <f>$M$403*$W$403</f>
        <v>46600.815509999993</v>
      </c>
      <c r="AD403" s="6">
        <f>$O$403*$X$403</f>
        <v>19540.858319999999</v>
      </c>
      <c r="AE403" s="6">
        <f>$K$403*$Y$403</f>
        <v>0</v>
      </c>
      <c r="AF403" s="6">
        <f ca="1">$M$403*$Z$403</f>
        <v>54627.41832000648</v>
      </c>
      <c r="AG403" s="6">
        <f>$O$403*$AA$403</f>
        <v>17543.911900515348</v>
      </c>
    </row>
    <row r="404" spans="1:33" ht="11.25" customHeight="1" x14ac:dyDescent="0.3">
      <c r="A404" s="4" t="s">
        <v>21</v>
      </c>
      <c r="B404" s="4" t="s">
        <v>46</v>
      </c>
      <c r="C404" s="4" t="s">
        <v>23</v>
      </c>
      <c r="D404" s="4" t="s">
        <v>47</v>
      </c>
      <c r="E404" s="4" t="s">
        <v>48</v>
      </c>
      <c r="F404" s="4" t="s">
        <v>25</v>
      </c>
      <c r="G404" s="4" t="s">
        <v>25</v>
      </c>
      <c r="H404" s="4" t="s">
        <v>25</v>
      </c>
      <c r="I404" s="5">
        <v>44713</v>
      </c>
      <c r="J404" s="6">
        <v>0</v>
      </c>
      <c r="K404" s="6">
        <v>0</v>
      </c>
      <c r="L404" s="6">
        <v>235.31200000000001</v>
      </c>
      <c r="M404" s="6">
        <v>235.31200000000001</v>
      </c>
      <c r="N404" s="6">
        <v>235.31200000000001</v>
      </c>
      <c r="O404" s="6">
        <v>235.31200000000001</v>
      </c>
      <c r="P404" s="6">
        <v>9</v>
      </c>
      <c r="Q404" s="4" t="s">
        <v>26</v>
      </c>
      <c r="R404" s="4">
        <v>0</v>
      </c>
      <c r="S404" s="6">
        <v>0</v>
      </c>
      <c r="T404" s="6">
        <v>69</v>
      </c>
      <c r="U404" s="6">
        <v>43</v>
      </c>
      <c r="V404" s="6">
        <f>IF(ISERROR(VLOOKUP($S$404,'TAR FIN'!$A$1:$O$85,15,0)),0,VLOOKUP($S$404,'TAR FIN'!$A$1:$O$85,15,0))</f>
        <v>0</v>
      </c>
      <c r="W404" s="6">
        <f>IF(ISERROR(VLOOKUP($T$404,'TAR FIN'!$A$1:$O$85,15,0)),0,VLOOKUP($T$404,'TAR FIN'!$A$1:$O$85,15,0))</f>
        <v>243.63</v>
      </c>
      <c r="X404" s="6">
        <f>IF(ISERROR(VLOOKUP($U$404,'TAR FIN'!$A$1:$O$85,15,0)),0,VLOOKUP($U$404,'TAR FIN'!$A$1:$O$85,15,0))</f>
        <v>102.16</v>
      </c>
      <c r="Y404" s="6"/>
      <c r="Z404" s="6">
        <f ca="1">('TUSD BE'!$AM$50+'TUSD BF'!$AM$50+'TUSD CVA'!$AM$50)*1</f>
        <v>285.59324079741151</v>
      </c>
      <c r="AA404" s="6">
        <f>('TE BE'!$AB$41+'TE BF'!$AB$41+'TE CVA'!$AB$41)*1</f>
        <v>91.719923987282044</v>
      </c>
      <c r="AB404" s="6">
        <f>$K$404*$V$404</f>
        <v>0</v>
      </c>
      <c r="AC404" s="6">
        <f>$M$404*$W$404</f>
        <v>57329.062559999998</v>
      </c>
      <c r="AD404" s="6">
        <f>$O$404*$X$404</f>
        <v>24039.47392</v>
      </c>
      <c r="AE404" s="6">
        <f>$K$404*$Y$404</f>
        <v>0</v>
      </c>
      <c r="AF404" s="6">
        <f ca="1">$M$404*$Z$404</f>
        <v>67203.516678520507</v>
      </c>
      <c r="AG404" s="6">
        <f>$O$404*$AA$404</f>
        <v>21582.798753295312</v>
      </c>
    </row>
    <row r="405" spans="1:33" ht="11.25" customHeight="1" x14ac:dyDescent="0.3">
      <c r="A405" s="4" t="s">
        <v>21</v>
      </c>
      <c r="B405" s="4" t="s">
        <v>46</v>
      </c>
      <c r="C405" s="4" t="s">
        <v>23</v>
      </c>
      <c r="D405" s="4" t="s">
        <v>47</v>
      </c>
      <c r="E405" s="4" t="s">
        <v>48</v>
      </c>
      <c r="F405" s="4" t="s">
        <v>25</v>
      </c>
      <c r="G405" s="4" t="s">
        <v>25</v>
      </c>
      <c r="H405" s="4" t="s">
        <v>25</v>
      </c>
      <c r="I405" s="5">
        <v>44743</v>
      </c>
      <c r="J405" s="6">
        <v>0</v>
      </c>
      <c r="K405" s="6">
        <v>0</v>
      </c>
      <c r="L405" s="6">
        <v>262.262</v>
      </c>
      <c r="M405" s="6">
        <v>262.262</v>
      </c>
      <c r="N405" s="6">
        <v>262.262</v>
      </c>
      <c r="O405" s="6">
        <v>262.262</v>
      </c>
      <c r="P405" s="6">
        <v>9</v>
      </c>
      <c r="Q405" s="4" t="s">
        <v>26</v>
      </c>
      <c r="R405" s="4">
        <v>0</v>
      </c>
      <c r="S405" s="6">
        <v>0</v>
      </c>
      <c r="T405" s="6">
        <v>69</v>
      </c>
      <c r="U405" s="6">
        <v>43</v>
      </c>
      <c r="V405" s="6">
        <f>IF(ISERROR(VLOOKUP($S$405,'TAR FIN'!$A$1:$O$85,15,0)),0,VLOOKUP($S$405,'TAR FIN'!$A$1:$O$85,15,0))</f>
        <v>0</v>
      </c>
      <c r="W405" s="6">
        <f>IF(ISERROR(VLOOKUP($T$405,'TAR FIN'!$A$1:$O$85,15,0)),0,VLOOKUP($T$405,'TAR FIN'!$A$1:$O$85,15,0))</f>
        <v>243.63</v>
      </c>
      <c r="X405" s="6">
        <f>IF(ISERROR(VLOOKUP($U$405,'TAR FIN'!$A$1:$O$85,15,0)),0,VLOOKUP($U$405,'TAR FIN'!$A$1:$O$85,15,0))</f>
        <v>102.16</v>
      </c>
      <c r="Y405" s="6"/>
      <c r="Z405" s="6">
        <f ca="1">('TUSD BE'!$AM$50+'TUSD BF'!$AM$50+'TUSD CVA'!$AM$50)*1</f>
        <v>285.59324079741151</v>
      </c>
      <c r="AA405" s="6">
        <f>('TE BE'!$AB$41+'TE BF'!$AB$41+'TE CVA'!$AB$41)*1</f>
        <v>91.719923987282044</v>
      </c>
      <c r="AB405" s="6">
        <f>$K$405*$V$405</f>
        <v>0</v>
      </c>
      <c r="AC405" s="6">
        <f>$M$405*$W$405</f>
        <v>63894.891060000002</v>
      </c>
      <c r="AD405" s="6">
        <f>$O$405*$X$405</f>
        <v>26792.68592</v>
      </c>
      <c r="AE405" s="6">
        <f>$K$405*$Y$405</f>
        <v>0</v>
      </c>
      <c r="AF405" s="6">
        <f ca="1">$M$405*$Z$405</f>
        <v>74900.254518010741</v>
      </c>
      <c r="AG405" s="6">
        <f>$O$405*$AA$405</f>
        <v>24054.650704752563</v>
      </c>
    </row>
    <row r="406" spans="1:33" ht="11.25" customHeight="1" x14ac:dyDescent="0.3">
      <c r="A406" s="4" t="s">
        <v>21</v>
      </c>
      <c r="B406" s="4" t="s">
        <v>46</v>
      </c>
      <c r="C406" s="4" t="s">
        <v>23</v>
      </c>
      <c r="D406" s="4" t="s">
        <v>47</v>
      </c>
      <c r="E406" s="4" t="s">
        <v>48</v>
      </c>
      <c r="F406" s="4" t="s">
        <v>25</v>
      </c>
      <c r="G406" s="4" t="s">
        <v>25</v>
      </c>
      <c r="H406" s="4" t="s">
        <v>25</v>
      </c>
      <c r="I406" s="5">
        <v>44774</v>
      </c>
      <c r="J406" s="6">
        <v>0</v>
      </c>
      <c r="K406" s="6">
        <v>0</v>
      </c>
      <c r="L406" s="6">
        <v>276.28800000000001</v>
      </c>
      <c r="M406" s="6">
        <v>276.28800000000001</v>
      </c>
      <c r="N406" s="6">
        <v>276.28800000000001</v>
      </c>
      <c r="O406" s="6">
        <v>276.28800000000001</v>
      </c>
      <c r="P406" s="6">
        <v>9</v>
      </c>
      <c r="Q406" s="4" t="s">
        <v>26</v>
      </c>
      <c r="R406" s="4">
        <v>0</v>
      </c>
      <c r="S406" s="6">
        <v>0</v>
      </c>
      <c r="T406" s="6">
        <v>69</v>
      </c>
      <c r="U406" s="6">
        <v>43</v>
      </c>
      <c r="V406" s="6">
        <f>IF(ISERROR(VLOOKUP($S$406,'TAR FIN'!$A$1:$O$85,15,0)),0,VLOOKUP($S$406,'TAR FIN'!$A$1:$O$85,15,0))</f>
        <v>0</v>
      </c>
      <c r="W406" s="6">
        <f>IF(ISERROR(VLOOKUP($T$406,'TAR FIN'!$A$1:$O$85,15,0)),0,VLOOKUP($T$406,'TAR FIN'!$A$1:$O$85,15,0))</f>
        <v>243.63</v>
      </c>
      <c r="X406" s="6">
        <f>IF(ISERROR(VLOOKUP($U$406,'TAR FIN'!$A$1:$O$85,15,0)),0,VLOOKUP($U$406,'TAR FIN'!$A$1:$O$85,15,0))</f>
        <v>102.16</v>
      </c>
      <c r="Y406" s="6"/>
      <c r="Z406" s="6">
        <f ca="1">('TUSD BE'!$AM$50+'TUSD BF'!$AM$50+'TUSD CVA'!$AM$50)*1</f>
        <v>285.59324079741151</v>
      </c>
      <c r="AA406" s="6">
        <f>('TE BE'!$AB$41+'TE BF'!$AB$41+'TE CVA'!$AB$41)*1</f>
        <v>91.719923987282044</v>
      </c>
      <c r="AB406" s="6">
        <f>$K$406*$V$406</f>
        <v>0</v>
      </c>
      <c r="AC406" s="6">
        <f>$M$406*$W$406</f>
        <v>67312.045440000002</v>
      </c>
      <c r="AD406" s="6">
        <f>$O$406*$X$406</f>
        <v>28225.58208</v>
      </c>
      <c r="AE406" s="6">
        <f>$K$406*$Y$406</f>
        <v>0</v>
      </c>
      <c r="AF406" s="6">
        <f ca="1">$M$406*$Z$406</f>
        <v>78905.985313435231</v>
      </c>
      <c r="AG406" s="6">
        <f>$O$406*$AA$406</f>
        <v>25341.114358598181</v>
      </c>
    </row>
    <row r="407" spans="1:33" ht="11.25" customHeight="1" x14ac:dyDescent="0.3">
      <c r="A407" s="4" t="s">
        <v>21</v>
      </c>
      <c r="B407" s="4" t="s">
        <v>46</v>
      </c>
      <c r="C407" s="4" t="s">
        <v>23</v>
      </c>
      <c r="D407" s="4" t="s">
        <v>47</v>
      </c>
      <c r="E407" s="4" t="s">
        <v>49</v>
      </c>
      <c r="F407" s="4" t="s">
        <v>25</v>
      </c>
      <c r="G407" s="4" t="s">
        <v>25</v>
      </c>
      <c r="H407" s="4" t="s">
        <v>25</v>
      </c>
      <c r="I407" s="5">
        <v>44440</v>
      </c>
      <c r="J407" s="6">
        <v>0</v>
      </c>
      <c r="K407" s="6">
        <v>0</v>
      </c>
      <c r="L407" s="6">
        <v>128.18199999999999</v>
      </c>
      <c r="M407" s="6">
        <v>128.18199999999999</v>
      </c>
      <c r="N407" s="6">
        <v>128.18199999999999</v>
      </c>
      <c r="O407" s="6">
        <v>128.18199999999999</v>
      </c>
      <c r="P407" s="6">
        <v>6</v>
      </c>
      <c r="Q407" s="4" t="s">
        <v>26</v>
      </c>
      <c r="R407" s="4">
        <v>0</v>
      </c>
      <c r="S407" s="6">
        <v>0</v>
      </c>
      <c r="T407" s="6">
        <v>70</v>
      </c>
      <c r="U407" s="6">
        <v>45</v>
      </c>
      <c r="V407" s="6">
        <f>IF(ISERROR(VLOOKUP($S$407,'TAR FIN'!$A$1:$O$85,15,0)),0,VLOOKUP($S$407,'TAR FIN'!$A$1:$O$85,15,0))</f>
        <v>0</v>
      </c>
      <c r="W407" s="6">
        <f>IF(ISERROR(VLOOKUP($T$407,'TAR FIN'!$A$1:$O$85,15,0)),0,VLOOKUP($T$407,'TAR FIN'!$A$1:$O$85,15,0))</f>
        <v>265.77999999999997</v>
      </c>
      <c r="X407" s="6">
        <f>IF(ISERROR(VLOOKUP($U$407,'TAR FIN'!$A$1:$O$85,15,0)),0,VLOOKUP($U$407,'TAR FIN'!$A$1:$O$85,15,0))</f>
        <v>111.45</v>
      </c>
      <c r="Y407" s="6"/>
      <c r="Z407" s="6">
        <f ca="1">('TUSD BE'!$AM$51+'TUSD BF'!$AM$51+'TUSD CVA'!$AM$51)*1</f>
        <v>311.55626268808527</v>
      </c>
      <c r="AA407" s="6">
        <f>('TE BE'!$AB$42+'TE BF'!$AB$42+'TE CVA'!$AB$42)*1</f>
        <v>100.05809889521676</v>
      </c>
      <c r="AB407" s="6">
        <f>$K$407*$V$407</f>
        <v>0</v>
      </c>
      <c r="AC407" s="6">
        <f>$M$407*$W$407</f>
        <v>34068.211959999993</v>
      </c>
      <c r="AD407" s="6">
        <f>$O$407*$X$407</f>
        <v>14285.883899999999</v>
      </c>
      <c r="AE407" s="6">
        <f>$K$407*$Y$407</f>
        <v>0</v>
      </c>
      <c r="AF407" s="6">
        <f ca="1">$M$407*$Z$407</f>
        <v>39935.904863884141</v>
      </c>
      <c r="AG407" s="6">
        <f>$O$407*$AA$407</f>
        <v>12825.647232586673</v>
      </c>
    </row>
    <row r="408" spans="1:33" ht="11.25" customHeight="1" x14ac:dyDescent="0.3">
      <c r="A408" s="4" t="s">
        <v>21</v>
      </c>
      <c r="B408" s="4" t="s">
        <v>46</v>
      </c>
      <c r="C408" s="4" t="s">
        <v>23</v>
      </c>
      <c r="D408" s="4" t="s">
        <v>47</v>
      </c>
      <c r="E408" s="4" t="s">
        <v>49</v>
      </c>
      <c r="F408" s="4" t="s">
        <v>25</v>
      </c>
      <c r="G408" s="4" t="s">
        <v>25</v>
      </c>
      <c r="H408" s="4" t="s">
        <v>25</v>
      </c>
      <c r="I408" s="5">
        <v>44470</v>
      </c>
      <c r="J408" s="6">
        <v>0</v>
      </c>
      <c r="K408" s="6">
        <v>0</v>
      </c>
      <c r="L408" s="6">
        <v>130.39699999999999</v>
      </c>
      <c r="M408" s="6">
        <v>130.39699999999999</v>
      </c>
      <c r="N408" s="6">
        <v>130.39699999999999</v>
      </c>
      <c r="O408" s="6">
        <v>130.39699999999999</v>
      </c>
      <c r="P408" s="6">
        <v>6</v>
      </c>
      <c r="Q408" s="4" t="s">
        <v>26</v>
      </c>
      <c r="R408" s="4">
        <v>0</v>
      </c>
      <c r="S408" s="6">
        <v>0</v>
      </c>
      <c r="T408" s="6">
        <v>70</v>
      </c>
      <c r="U408" s="6">
        <v>45</v>
      </c>
      <c r="V408" s="6">
        <f>IF(ISERROR(VLOOKUP($S$408,'TAR FIN'!$A$1:$O$85,15,0)),0,VLOOKUP($S$408,'TAR FIN'!$A$1:$O$85,15,0))</f>
        <v>0</v>
      </c>
      <c r="W408" s="6">
        <f>IF(ISERROR(VLOOKUP($T$408,'TAR FIN'!$A$1:$O$85,15,0)),0,VLOOKUP($T$408,'TAR FIN'!$A$1:$O$85,15,0))</f>
        <v>265.77999999999997</v>
      </c>
      <c r="X408" s="6">
        <f>IF(ISERROR(VLOOKUP($U$408,'TAR FIN'!$A$1:$O$85,15,0)),0,VLOOKUP($U$408,'TAR FIN'!$A$1:$O$85,15,0))</f>
        <v>111.45</v>
      </c>
      <c r="Y408" s="6"/>
      <c r="Z408" s="6">
        <f ca="1">('TUSD BE'!$AM$51+'TUSD BF'!$AM$51+'TUSD CVA'!$AM$51)*1</f>
        <v>311.55626268808527</v>
      </c>
      <c r="AA408" s="6">
        <f>('TE BE'!$AB$42+'TE BF'!$AB$42+'TE CVA'!$AB$42)*1</f>
        <v>100.05809889521676</v>
      </c>
      <c r="AB408" s="6">
        <f>$K$408*$V$408</f>
        <v>0</v>
      </c>
      <c r="AC408" s="6">
        <f>$M$408*$W$408</f>
        <v>34656.914659999995</v>
      </c>
      <c r="AD408" s="6">
        <f>$O$408*$X$408</f>
        <v>14532.745649999999</v>
      </c>
      <c r="AE408" s="6">
        <f>$K$408*$Y$408</f>
        <v>0</v>
      </c>
      <c r="AF408" s="6">
        <f ca="1">$M$408*$Z$408</f>
        <v>40626.00198573825</v>
      </c>
      <c r="AG408" s="6">
        <f>$O$408*$AA$408</f>
        <v>13047.275921639579</v>
      </c>
    </row>
    <row r="409" spans="1:33" ht="11.25" customHeight="1" x14ac:dyDescent="0.3">
      <c r="A409" s="4" t="s">
        <v>21</v>
      </c>
      <c r="B409" s="4" t="s">
        <v>46</v>
      </c>
      <c r="C409" s="4" t="s">
        <v>23</v>
      </c>
      <c r="D409" s="4" t="s">
        <v>47</v>
      </c>
      <c r="E409" s="4" t="s">
        <v>49</v>
      </c>
      <c r="F409" s="4" t="s">
        <v>25</v>
      </c>
      <c r="G409" s="4" t="s">
        <v>25</v>
      </c>
      <c r="H409" s="4" t="s">
        <v>25</v>
      </c>
      <c r="I409" s="5">
        <v>44501</v>
      </c>
      <c r="J409" s="6">
        <v>0</v>
      </c>
      <c r="K409" s="6">
        <v>0</v>
      </c>
      <c r="L409" s="6">
        <v>130.57300000000001</v>
      </c>
      <c r="M409" s="6">
        <v>130.57300000000001</v>
      </c>
      <c r="N409" s="6">
        <v>130.57300000000001</v>
      </c>
      <c r="O409" s="6">
        <v>130.57300000000001</v>
      </c>
      <c r="P409" s="6">
        <v>6</v>
      </c>
      <c r="Q409" s="4" t="s">
        <v>26</v>
      </c>
      <c r="R409" s="4">
        <v>0</v>
      </c>
      <c r="S409" s="6">
        <v>0</v>
      </c>
      <c r="T409" s="6">
        <v>70</v>
      </c>
      <c r="U409" s="6">
        <v>45</v>
      </c>
      <c r="V409" s="6">
        <f>IF(ISERROR(VLOOKUP($S$409,'TAR FIN'!$A$1:$O$85,15,0)),0,VLOOKUP($S$409,'TAR FIN'!$A$1:$O$85,15,0))</f>
        <v>0</v>
      </c>
      <c r="W409" s="6">
        <f>IF(ISERROR(VLOOKUP($T$409,'TAR FIN'!$A$1:$O$85,15,0)),0,VLOOKUP($T$409,'TAR FIN'!$A$1:$O$85,15,0))</f>
        <v>265.77999999999997</v>
      </c>
      <c r="X409" s="6">
        <f>IF(ISERROR(VLOOKUP($U$409,'TAR FIN'!$A$1:$O$85,15,0)),0,VLOOKUP($U$409,'TAR FIN'!$A$1:$O$85,15,0))</f>
        <v>111.45</v>
      </c>
      <c r="Y409" s="6"/>
      <c r="Z409" s="6">
        <f ca="1">('TUSD BE'!$AM$51+'TUSD BF'!$AM$51+'TUSD CVA'!$AM$51)*1</f>
        <v>311.55626268808527</v>
      </c>
      <c r="AA409" s="6">
        <f>('TE BE'!$AB$42+'TE BF'!$AB$42+'TE CVA'!$AB$42)*1</f>
        <v>100.05809889521676</v>
      </c>
      <c r="AB409" s="6">
        <f>$K$409*$V$409</f>
        <v>0</v>
      </c>
      <c r="AC409" s="6">
        <f>$M$409*$W$409</f>
        <v>34703.691939999997</v>
      </c>
      <c r="AD409" s="6">
        <f>$O$409*$X$409</f>
        <v>14552.360850000001</v>
      </c>
      <c r="AE409" s="6">
        <f>$K$409*$Y$409</f>
        <v>0</v>
      </c>
      <c r="AF409" s="6">
        <f ca="1">$M$409*$Z$409</f>
        <v>40680.835887971363</v>
      </c>
      <c r="AG409" s="6">
        <f>$O$409*$AA$409</f>
        <v>13064.886147045139</v>
      </c>
    </row>
    <row r="410" spans="1:33" ht="11.25" customHeight="1" x14ac:dyDescent="0.3">
      <c r="A410" s="4" t="s">
        <v>21</v>
      </c>
      <c r="B410" s="4" t="s">
        <v>46</v>
      </c>
      <c r="C410" s="4" t="s">
        <v>23</v>
      </c>
      <c r="D410" s="4" t="s">
        <v>47</v>
      </c>
      <c r="E410" s="4" t="s">
        <v>49</v>
      </c>
      <c r="F410" s="4" t="s">
        <v>25</v>
      </c>
      <c r="G410" s="4" t="s">
        <v>25</v>
      </c>
      <c r="H410" s="4" t="s">
        <v>25</v>
      </c>
      <c r="I410" s="5">
        <v>44531</v>
      </c>
      <c r="J410" s="6">
        <v>0</v>
      </c>
      <c r="K410" s="6">
        <v>0</v>
      </c>
      <c r="L410" s="6">
        <v>130.57300000000001</v>
      </c>
      <c r="M410" s="6">
        <v>130.57300000000001</v>
      </c>
      <c r="N410" s="6">
        <v>130.57300000000001</v>
      </c>
      <c r="O410" s="6">
        <v>130.57300000000001</v>
      </c>
      <c r="P410" s="6">
        <v>6</v>
      </c>
      <c r="Q410" s="4" t="s">
        <v>26</v>
      </c>
      <c r="R410" s="4">
        <v>0</v>
      </c>
      <c r="S410" s="6">
        <v>0</v>
      </c>
      <c r="T410" s="6">
        <v>70</v>
      </c>
      <c r="U410" s="6">
        <v>45</v>
      </c>
      <c r="V410" s="6">
        <f>IF(ISERROR(VLOOKUP($S$410,'TAR FIN'!$A$1:$O$85,15,0)),0,VLOOKUP($S$410,'TAR FIN'!$A$1:$O$85,15,0))</f>
        <v>0</v>
      </c>
      <c r="W410" s="6">
        <f>IF(ISERROR(VLOOKUP($T$410,'TAR FIN'!$A$1:$O$85,15,0)),0,VLOOKUP($T$410,'TAR FIN'!$A$1:$O$85,15,0))</f>
        <v>265.77999999999997</v>
      </c>
      <c r="X410" s="6">
        <f>IF(ISERROR(VLOOKUP($U$410,'TAR FIN'!$A$1:$O$85,15,0)),0,VLOOKUP($U$410,'TAR FIN'!$A$1:$O$85,15,0))</f>
        <v>111.45</v>
      </c>
      <c r="Y410" s="6"/>
      <c r="Z410" s="6">
        <f ca="1">('TUSD BE'!$AM$51+'TUSD BF'!$AM$51+'TUSD CVA'!$AM$51)*1</f>
        <v>311.55626268808527</v>
      </c>
      <c r="AA410" s="6">
        <f>('TE BE'!$AB$42+'TE BF'!$AB$42+'TE CVA'!$AB$42)*1</f>
        <v>100.05809889521676</v>
      </c>
      <c r="AB410" s="6">
        <f>$K$410*$V$410</f>
        <v>0</v>
      </c>
      <c r="AC410" s="6">
        <f>$M$410*$W$410</f>
        <v>34703.691939999997</v>
      </c>
      <c r="AD410" s="6">
        <f>$O$410*$X$410</f>
        <v>14552.360850000001</v>
      </c>
      <c r="AE410" s="6">
        <f>$K$410*$Y$410</f>
        <v>0</v>
      </c>
      <c r="AF410" s="6">
        <f ca="1">$M$410*$Z$410</f>
        <v>40680.835887971363</v>
      </c>
      <c r="AG410" s="6">
        <f>$O$410*$AA$410</f>
        <v>13064.886147045139</v>
      </c>
    </row>
    <row r="411" spans="1:33" ht="11.25" customHeight="1" x14ac:dyDescent="0.3">
      <c r="A411" s="4" t="s">
        <v>21</v>
      </c>
      <c r="B411" s="4" t="s">
        <v>46</v>
      </c>
      <c r="C411" s="4" t="s">
        <v>23</v>
      </c>
      <c r="D411" s="4" t="s">
        <v>47</v>
      </c>
      <c r="E411" s="4" t="s">
        <v>49</v>
      </c>
      <c r="F411" s="4" t="s">
        <v>25</v>
      </c>
      <c r="G411" s="4" t="s">
        <v>25</v>
      </c>
      <c r="H411" s="4" t="s">
        <v>25</v>
      </c>
      <c r="I411" s="5">
        <v>44562</v>
      </c>
      <c r="J411" s="6">
        <v>0</v>
      </c>
      <c r="K411" s="6">
        <v>0</v>
      </c>
      <c r="L411" s="6">
        <v>130.57300000000001</v>
      </c>
      <c r="M411" s="6">
        <v>130.57300000000001</v>
      </c>
      <c r="N411" s="6">
        <v>130.57300000000001</v>
      </c>
      <c r="O411" s="6">
        <v>130.57300000000001</v>
      </c>
      <c r="P411" s="6">
        <v>6</v>
      </c>
      <c r="Q411" s="4" t="s">
        <v>26</v>
      </c>
      <c r="R411" s="4">
        <v>0</v>
      </c>
      <c r="S411" s="6">
        <v>0</v>
      </c>
      <c r="T411" s="6">
        <v>70</v>
      </c>
      <c r="U411" s="6">
        <v>45</v>
      </c>
      <c r="V411" s="6">
        <f>IF(ISERROR(VLOOKUP($S$411,'TAR FIN'!$A$1:$O$85,15,0)),0,VLOOKUP($S$411,'TAR FIN'!$A$1:$O$85,15,0))</f>
        <v>0</v>
      </c>
      <c r="W411" s="6">
        <f>IF(ISERROR(VLOOKUP($T$411,'TAR FIN'!$A$1:$O$85,15,0)),0,VLOOKUP($T$411,'TAR FIN'!$A$1:$O$85,15,0))</f>
        <v>265.77999999999997</v>
      </c>
      <c r="X411" s="6">
        <f>IF(ISERROR(VLOOKUP($U$411,'TAR FIN'!$A$1:$O$85,15,0)),0,VLOOKUP($U$411,'TAR FIN'!$A$1:$O$85,15,0))</f>
        <v>111.45</v>
      </c>
      <c r="Y411" s="6"/>
      <c r="Z411" s="6">
        <f ca="1">('TUSD BE'!$AM$51+'TUSD BF'!$AM$51+'TUSD CVA'!$AM$51)*1</f>
        <v>311.55626268808527</v>
      </c>
      <c r="AA411" s="6">
        <f>('TE BE'!$AB$42+'TE BF'!$AB$42+'TE CVA'!$AB$42)*1</f>
        <v>100.05809889521676</v>
      </c>
      <c r="AB411" s="6">
        <f>$K$411*$V$411</f>
        <v>0</v>
      </c>
      <c r="AC411" s="6">
        <f>$M$411*$W$411</f>
        <v>34703.691939999997</v>
      </c>
      <c r="AD411" s="6">
        <f>$O$411*$X$411</f>
        <v>14552.360850000001</v>
      </c>
      <c r="AE411" s="6">
        <f>$K$411*$Y$411</f>
        <v>0</v>
      </c>
      <c r="AF411" s="6">
        <f ca="1">$M$411*$Z$411</f>
        <v>40680.835887971363</v>
      </c>
      <c r="AG411" s="6">
        <f>$O$411*$AA$411</f>
        <v>13064.886147045139</v>
      </c>
    </row>
    <row r="412" spans="1:33" ht="11.25" customHeight="1" x14ac:dyDescent="0.3">
      <c r="A412" s="4" t="s">
        <v>21</v>
      </c>
      <c r="B412" s="4" t="s">
        <v>46</v>
      </c>
      <c r="C412" s="4" t="s">
        <v>23</v>
      </c>
      <c r="D412" s="4" t="s">
        <v>47</v>
      </c>
      <c r="E412" s="4" t="s">
        <v>49</v>
      </c>
      <c r="F412" s="4" t="s">
        <v>25</v>
      </c>
      <c r="G412" s="4" t="s">
        <v>25</v>
      </c>
      <c r="H412" s="4" t="s">
        <v>25</v>
      </c>
      <c r="I412" s="5">
        <v>44593</v>
      </c>
      <c r="J412" s="6">
        <v>0</v>
      </c>
      <c r="K412" s="6">
        <v>0</v>
      </c>
      <c r="L412" s="6">
        <v>130.57300000000001</v>
      </c>
      <c r="M412" s="6">
        <v>130.57300000000001</v>
      </c>
      <c r="N412" s="6">
        <v>130.57300000000001</v>
      </c>
      <c r="O412" s="6">
        <v>130.57300000000001</v>
      </c>
      <c r="P412" s="6">
        <v>6</v>
      </c>
      <c r="Q412" s="4" t="s">
        <v>26</v>
      </c>
      <c r="R412" s="4">
        <v>0</v>
      </c>
      <c r="S412" s="6">
        <v>0</v>
      </c>
      <c r="T412" s="6">
        <v>70</v>
      </c>
      <c r="U412" s="6">
        <v>45</v>
      </c>
      <c r="V412" s="6">
        <f>IF(ISERROR(VLOOKUP($S$412,'TAR FIN'!$A$1:$O$85,15,0)),0,VLOOKUP($S$412,'TAR FIN'!$A$1:$O$85,15,0))</f>
        <v>0</v>
      </c>
      <c r="W412" s="6">
        <f>IF(ISERROR(VLOOKUP($T$412,'TAR FIN'!$A$1:$O$85,15,0)),0,VLOOKUP($T$412,'TAR FIN'!$A$1:$O$85,15,0))</f>
        <v>265.77999999999997</v>
      </c>
      <c r="X412" s="6">
        <f>IF(ISERROR(VLOOKUP($U$412,'TAR FIN'!$A$1:$O$85,15,0)),0,VLOOKUP($U$412,'TAR FIN'!$A$1:$O$85,15,0))</f>
        <v>111.45</v>
      </c>
      <c r="Y412" s="6"/>
      <c r="Z412" s="6">
        <f ca="1">('TUSD BE'!$AM$51+'TUSD BF'!$AM$51+'TUSD CVA'!$AM$51)*1</f>
        <v>311.55626268808527</v>
      </c>
      <c r="AA412" s="6">
        <f>('TE BE'!$AB$42+'TE BF'!$AB$42+'TE CVA'!$AB$42)*1</f>
        <v>100.05809889521676</v>
      </c>
      <c r="AB412" s="6">
        <f>$K$412*$V$412</f>
        <v>0</v>
      </c>
      <c r="AC412" s="6">
        <f>$M$412*$W$412</f>
        <v>34703.691939999997</v>
      </c>
      <c r="AD412" s="6">
        <f>$O$412*$X$412</f>
        <v>14552.360850000001</v>
      </c>
      <c r="AE412" s="6">
        <f>$K$412*$Y$412</f>
        <v>0</v>
      </c>
      <c r="AF412" s="6">
        <f ca="1">$M$412*$Z$412</f>
        <v>40680.835887971363</v>
      </c>
      <c r="AG412" s="6">
        <f>$O$412*$AA$412</f>
        <v>13064.886147045139</v>
      </c>
    </row>
    <row r="413" spans="1:33" ht="11.25" customHeight="1" x14ac:dyDescent="0.3">
      <c r="A413" s="4" t="s">
        <v>21</v>
      </c>
      <c r="B413" s="4" t="s">
        <v>46</v>
      </c>
      <c r="C413" s="4" t="s">
        <v>23</v>
      </c>
      <c r="D413" s="4" t="s">
        <v>47</v>
      </c>
      <c r="E413" s="4" t="s">
        <v>49</v>
      </c>
      <c r="F413" s="4" t="s">
        <v>25</v>
      </c>
      <c r="G413" s="4" t="s">
        <v>25</v>
      </c>
      <c r="H413" s="4" t="s">
        <v>25</v>
      </c>
      <c r="I413" s="5">
        <v>44621</v>
      </c>
      <c r="J413" s="6">
        <v>0</v>
      </c>
      <c r="K413" s="6">
        <v>0</v>
      </c>
      <c r="L413" s="6">
        <v>130.57300000000001</v>
      </c>
      <c r="M413" s="6">
        <v>130.57300000000001</v>
      </c>
      <c r="N413" s="6">
        <v>130.57300000000001</v>
      </c>
      <c r="O413" s="6">
        <v>130.57300000000001</v>
      </c>
      <c r="P413" s="6">
        <v>6</v>
      </c>
      <c r="Q413" s="4" t="s">
        <v>26</v>
      </c>
      <c r="R413" s="4">
        <v>0</v>
      </c>
      <c r="S413" s="6">
        <v>0</v>
      </c>
      <c r="T413" s="6">
        <v>70</v>
      </c>
      <c r="U413" s="6">
        <v>45</v>
      </c>
      <c r="V413" s="6">
        <f>IF(ISERROR(VLOOKUP($S$413,'TAR FIN'!$A$1:$O$85,15,0)),0,VLOOKUP($S$413,'TAR FIN'!$A$1:$O$85,15,0))</f>
        <v>0</v>
      </c>
      <c r="W413" s="6">
        <f>IF(ISERROR(VLOOKUP($T$413,'TAR FIN'!$A$1:$O$85,15,0)),0,VLOOKUP($T$413,'TAR FIN'!$A$1:$O$85,15,0))</f>
        <v>265.77999999999997</v>
      </c>
      <c r="X413" s="6">
        <f>IF(ISERROR(VLOOKUP($U$413,'TAR FIN'!$A$1:$O$85,15,0)),0,VLOOKUP($U$413,'TAR FIN'!$A$1:$O$85,15,0))</f>
        <v>111.45</v>
      </c>
      <c r="Y413" s="6"/>
      <c r="Z413" s="6">
        <f ca="1">('TUSD BE'!$AM$51+'TUSD BF'!$AM$51+'TUSD CVA'!$AM$51)*1</f>
        <v>311.55626268808527</v>
      </c>
      <c r="AA413" s="6">
        <f>('TE BE'!$AB$42+'TE BF'!$AB$42+'TE CVA'!$AB$42)*1</f>
        <v>100.05809889521676</v>
      </c>
      <c r="AB413" s="6">
        <f>$K$413*$V$413</f>
        <v>0</v>
      </c>
      <c r="AC413" s="6">
        <f>$M$413*$W$413</f>
        <v>34703.691939999997</v>
      </c>
      <c r="AD413" s="6">
        <f>$O$413*$X$413</f>
        <v>14552.360850000001</v>
      </c>
      <c r="AE413" s="6">
        <f>$K$413*$Y$413</f>
        <v>0</v>
      </c>
      <c r="AF413" s="6">
        <f ca="1">$M$413*$Z$413</f>
        <v>40680.835887971363</v>
      </c>
      <c r="AG413" s="6">
        <f>$O$413*$AA$413</f>
        <v>13064.886147045139</v>
      </c>
    </row>
    <row r="414" spans="1:33" ht="11.25" customHeight="1" x14ac:dyDescent="0.3">
      <c r="A414" s="4" t="s">
        <v>21</v>
      </c>
      <c r="B414" s="4" t="s">
        <v>46</v>
      </c>
      <c r="C414" s="4" t="s">
        <v>23</v>
      </c>
      <c r="D414" s="4" t="s">
        <v>47</v>
      </c>
      <c r="E414" s="4" t="s">
        <v>49</v>
      </c>
      <c r="F414" s="4" t="s">
        <v>25</v>
      </c>
      <c r="G414" s="4" t="s">
        <v>25</v>
      </c>
      <c r="H414" s="4" t="s">
        <v>25</v>
      </c>
      <c r="I414" s="5">
        <v>44652</v>
      </c>
      <c r="J414" s="6">
        <v>0</v>
      </c>
      <c r="K414" s="6">
        <v>0</v>
      </c>
      <c r="L414" s="6">
        <v>130.57300000000001</v>
      </c>
      <c r="M414" s="6">
        <v>130.57300000000001</v>
      </c>
      <c r="N414" s="6">
        <v>130.57300000000001</v>
      </c>
      <c r="O414" s="6">
        <v>130.57300000000001</v>
      </c>
      <c r="P414" s="6">
        <v>6</v>
      </c>
      <c r="Q414" s="4" t="s">
        <v>26</v>
      </c>
      <c r="R414" s="4">
        <v>0</v>
      </c>
      <c r="S414" s="6">
        <v>0</v>
      </c>
      <c r="T414" s="6">
        <v>70</v>
      </c>
      <c r="U414" s="6">
        <v>45</v>
      </c>
      <c r="V414" s="6">
        <f>IF(ISERROR(VLOOKUP($S$414,'TAR FIN'!$A$1:$O$85,15,0)),0,VLOOKUP($S$414,'TAR FIN'!$A$1:$O$85,15,0))</f>
        <v>0</v>
      </c>
      <c r="W414" s="6">
        <f>IF(ISERROR(VLOOKUP($T$414,'TAR FIN'!$A$1:$O$85,15,0)),0,VLOOKUP($T$414,'TAR FIN'!$A$1:$O$85,15,0))</f>
        <v>265.77999999999997</v>
      </c>
      <c r="X414" s="6">
        <f>IF(ISERROR(VLOOKUP($U$414,'TAR FIN'!$A$1:$O$85,15,0)),0,VLOOKUP($U$414,'TAR FIN'!$A$1:$O$85,15,0))</f>
        <v>111.45</v>
      </c>
      <c r="Y414" s="6"/>
      <c r="Z414" s="6">
        <f ca="1">('TUSD BE'!$AM$51+'TUSD BF'!$AM$51+'TUSD CVA'!$AM$51)*1</f>
        <v>311.55626268808527</v>
      </c>
      <c r="AA414" s="6">
        <f>('TE BE'!$AB$42+'TE BF'!$AB$42+'TE CVA'!$AB$42)*1</f>
        <v>100.05809889521676</v>
      </c>
      <c r="AB414" s="6">
        <f>$K$414*$V$414</f>
        <v>0</v>
      </c>
      <c r="AC414" s="6">
        <f>$M$414*$W$414</f>
        <v>34703.691939999997</v>
      </c>
      <c r="AD414" s="6">
        <f>$O$414*$X$414</f>
        <v>14552.360850000001</v>
      </c>
      <c r="AE414" s="6">
        <f>$K$414*$Y$414</f>
        <v>0</v>
      </c>
      <c r="AF414" s="6">
        <f ca="1">$M$414*$Z$414</f>
        <v>40680.835887971363</v>
      </c>
      <c r="AG414" s="6">
        <f>$O$414*$AA$414</f>
        <v>13064.886147045139</v>
      </c>
    </row>
    <row r="415" spans="1:33" ht="11.25" customHeight="1" x14ac:dyDescent="0.3">
      <c r="A415" s="4" t="s">
        <v>21</v>
      </c>
      <c r="B415" s="4" t="s">
        <v>46</v>
      </c>
      <c r="C415" s="4" t="s">
        <v>23</v>
      </c>
      <c r="D415" s="4" t="s">
        <v>47</v>
      </c>
      <c r="E415" s="4" t="s">
        <v>49</v>
      </c>
      <c r="F415" s="4" t="s">
        <v>25</v>
      </c>
      <c r="G415" s="4" t="s">
        <v>25</v>
      </c>
      <c r="H415" s="4" t="s">
        <v>25</v>
      </c>
      <c r="I415" s="5">
        <v>44682</v>
      </c>
      <c r="J415" s="6">
        <v>0</v>
      </c>
      <c r="K415" s="6">
        <v>0</v>
      </c>
      <c r="L415" s="6">
        <v>130.57300000000001</v>
      </c>
      <c r="M415" s="6">
        <v>130.57300000000001</v>
      </c>
      <c r="N415" s="6">
        <v>130.57300000000001</v>
      </c>
      <c r="O415" s="6">
        <v>130.57300000000001</v>
      </c>
      <c r="P415" s="6">
        <v>6</v>
      </c>
      <c r="Q415" s="4" t="s">
        <v>26</v>
      </c>
      <c r="R415" s="4">
        <v>0</v>
      </c>
      <c r="S415" s="6">
        <v>0</v>
      </c>
      <c r="T415" s="6">
        <v>70</v>
      </c>
      <c r="U415" s="6">
        <v>45</v>
      </c>
      <c r="V415" s="6">
        <f>IF(ISERROR(VLOOKUP($S$415,'TAR FIN'!$A$1:$O$85,15,0)),0,VLOOKUP($S$415,'TAR FIN'!$A$1:$O$85,15,0))</f>
        <v>0</v>
      </c>
      <c r="W415" s="6">
        <f>IF(ISERROR(VLOOKUP($T$415,'TAR FIN'!$A$1:$O$85,15,0)),0,VLOOKUP($T$415,'TAR FIN'!$A$1:$O$85,15,0))</f>
        <v>265.77999999999997</v>
      </c>
      <c r="X415" s="6">
        <f>IF(ISERROR(VLOOKUP($U$415,'TAR FIN'!$A$1:$O$85,15,0)),0,VLOOKUP($U$415,'TAR FIN'!$A$1:$O$85,15,0))</f>
        <v>111.45</v>
      </c>
      <c r="Y415" s="6"/>
      <c r="Z415" s="6">
        <f ca="1">('TUSD BE'!$AM$51+'TUSD BF'!$AM$51+'TUSD CVA'!$AM$51)*1</f>
        <v>311.55626268808527</v>
      </c>
      <c r="AA415" s="6">
        <f>('TE BE'!$AB$42+'TE BF'!$AB$42+'TE CVA'!$AB$42)*1</f>
        <v>100.05809889521676</v>
      </c>
      <c r="AB415" s="6">
        <f>$K$415*$V$415</f>
        <v>0</v>
      </c>
      <c r="AC415" s="6">
        <f>$M$415*$W$415</f>
        <v>34703.691939999997</v>
      </c>
      <c r="AD415" s="6">
        <f>$O$415*$X$415</f>
        <v>14552.360850000001</v>
      </c>
      <c r="AE415" s="6">
        <f>$K$415*$Y$415</f>
        <v>0</v>
      </c>
      <c r="AF415" s="6">
        <f ca="1">$M$415*$Z$415</f>
        <v>40680.835887971363</v>
      </c>
      <c r="AG415" s="6">
        <f>$O$415*$AA$415</f>
        <v>13064.886147045139</v>
      </c>
    </row>
    <row r="416" spans="1:33" ht="11.25" customHeight="1" x14ac:dyDescent="0.3">
      <c r="A416" s="4" t="s">
        <v>21</v>
      </c>
      <c r="B416" s="4" t="s">
        <v>46</v>
      </c>
      <c r="C416" s="4" t="s">
        <v>23</v>
      </c>
      <c r="D416" s="4" t="s">
        <v>47</v>
      </c>
      <c r="E416" s="4" t="s">
        <v>49</v>
      </c>
      <c r="F416" s="4" t="s">
        <v>25</v>
      </c>
      <c r="G416" s="4" t="s">
        <v>25</v>
      </c>
      <c r="H416" s="4" t="s">
        <v>25</v>
      </c>
      <c r="I416" s="5">
        <v>44713</v>
      </c>
      <c r="J416" s="6">
        <v>0</v>
      </c>
      <c r="K416" s="6">
        <v>0</v>
      </c>
      <c r="L416" s="6">
        <v>133.34200000000001</v>
      </c>
      <c r="M416" s="6">
        <v>133.34200000000001</v>
      </c>
      <c r="N416" s="6">
        <v>133.34200000000001</v>
      </c>
      <c r="O416" s="6">
        <v>133.34200000000001</v>
      </c>
      <c r="P416" s="6">
        <v>6</v>
      </c>
      <c r="Q416" s="4" t="s">
        <v>26</v>
      </c>
      <c r="R416" s="4">
        <v>0</v>
      </c>
      <c r="S416" s="6">
        <v>0</v>
      </c>
      <c r="T416" s="6">
        <v>70</v>
      </c>
      <c r="U416" s="6">
        <v>45</v>
      </c>
      <c r="V416" s="6">
        <f>IF(ISERROR(VLOOKUP($S$416,'TAR FIN'!$A$1:$O$85,15,0)),0,VLOOKUP($S$416,'TAR FIN'!$A$1:$O$85,15,0))</f>
        <v>0</v>
      </c>
      <c r="W416" s="6">
        <f>IF(ISERROR(VLOOKUP($T$416,'TAR FIN'!$A$1:$O$85,15,0)),0,VLOOKUP($T$416,'TAR FIN'!$A$1:$O$85,15,0))</f>
        <v>265.77999999999997</v>
      </c>
      <c r="X416" s="6">
        <f>IF(ISERROR(VLOOKUP($U$416,'TAR FIN'!$A$1:$O$85,15,0)),0,VLOOKUP($U$416,'TAR FIN'!$A$1:$O$85,15,0))</f>
        <v>111.45</v>
      </c>
      <c r="Y416" s="6"/>
      <c r="Z416" s="6">
        <f ca="1">('TUSD BE'!$AM$51+'TUSD BF'!$AM$51+'TUSD CVA'!$AM$51)*1</f>
        <v>311.55626268808527</v>
      </c>
      <c r="AA416" s="6">
        <f>('TE BE'!$AB$42+'TE BF'!$AB$42+'TE CVA'!$AB$42)*1</f>
        <v>100.05809889521676</v>
      </c>
      <c r="AB416" s="6">
        <f>$K$416*$V$416</f>
        <v>0</v>
      </c>
      <c r="AC416" s="6">
        <f>$M$416*$W$416</f>
        <v>35439.636760000001</v>
      </c>
      <c r="AD416" s="6">
        <f>$O$416*$X$416</f>
        <v>14860.965900000001</v>
      </c>
      <c r="AE416" s="6">
        <f>$K$416*$Y$416</f>
        <v>0</v>
      </c>
      <c r="AF416" s="6">
        <f ca="1">$M$416*$Z$416</f>
        <v>41543.535179354672</v>
      </c>
      <c r="AG416" s="6">
        <f>$O$416*$AA$416</f>
        <v>13341.947022885994</v>
      </c>
    </row>
    <row r="417" spans="1:33" ht="11.25" customHeight="1" x14ac:dyDescent="0.3">
      <c r="A417" s="4" t="s">
        <v>21</v>
      </c>
      <c r="B417" s="4" t="s">
        <v>46</v>
      </c>
      <c r="C417" s="4" t="s">
        <v>23</v>
      </c>
      <c r="D417" s="4" t="s">
        <v>47</v>
      </c>
      <c r="E417" s="4" t="s">
        <v>49</v>
      </c>
      <c r="F417" s="4" t="s">
        <v>25</v>
      </c>
      <c r="G417" s="4" t="s">
        <v>25</v>
      </c>
      <c r="H417" s="4" t="s">
        <v>25</v>
      </c>
      <c r="I417" s="5">
        <v>44743</v>
      </c>
      <c r="J417" s="6">
        <v>0</v>
      </c>
      <c r="K417" s="6">
        <v>0</v>
      </c>
      <c r="L417" s="6">
        <v>137.452</v>
      </c>
      <c r="M417" s="6">
        <v>137.452</v>
      </c>
      <c r="N417" s="6">
        <v>137.452</v>
      </c>
      <c r="O417" s="6">
        <v>137.452</v>
      </c>
      <c r="P417" s="6">
        <v>6</v>
      </c>
      <c r="Q417" s="4" t="s">
        <v>26</v>
      </c>
      <c r="R417" s="4">
        <v>0</v>
      </c>
      <c r="S417" s="6">
        <v>0</v>
      </c>
      <c r="T417" s="6">
        <v>70</v>
      </c>
      <c r="U417" s="6">
        <v>45</v>
      </c>
      <c r="V417" s="6">
        <f>IF(ISERROR(VLOOKUP($S$417,'TAR FIN'!$A$1:$O$85,15,0)),0,VLOOKUP($S$417,'TAR FIN'!$A$1:$O$85,15,0))</f>
        <v>0</v>
      </c>
      <c r="W417" s="6">
        <f>IF(ISERROR(VLOOKUP($T$417,'TAR FIN'!$A$1:$O$85,15,0)),0,VLOOKUP($T$417,'TAR FIN'!$A$1:$O$85,15,0))</f>
        <v>265.77999999999997</v>
      </c>
      <c r="X417" s="6">
        <f>IF(ISERROR(VLOOKUP($U$417,'TAR FIN'!$A$1:$O$85,15,0)),0,VLOOKUP($U$417,'TAR FIN'!$A$1:$O$85,15,0))</f>
        <v>111.45</v>
      </c>
      <c r="Y417" s="6"/>
      <c r="Z417" s="6">
        <f ca="1">('TUSD BE'!$AM$51+'TUSD BF'!$AM$51+'TUSD CVA'!$AM$51)*1</f>
        <v>311.55626268808527</v>
      </c>
      <c r="AA417" s="6">
        <f>('TE BE'!$AB$42+'TE BF'!$AB$42+'TE CVA'!$AB$42)*1</f>
        <v>100.05809889521676</v>
      </c>
      <c r="AB417" s="6">
        <f>$K$417*$V$417</f>
        <v>0</v>
      </c>
      <c r="AC417" s="6">
        <f>$M$417*$W$417</f>
        <v>36531.992559999999</v>
      </c>
      <c r="AD417" s="6">
        <f>$O$417*$X$417</f>
        <v>15319.0254</v>
      </c>
      <c r="AE417" s="6">
        <f>$K$417*$Y$417</f>
        <v>0</v>
      </c>
      <c r="AF417" s="6">
        <f ca="1">$M$417*$Z$417</f>
        <v>42824.031419002698</v>
      </c>
      <c r="AG417" s="6">
        <f>$O$417*$AA$417</f>
        <v>13753.185809345334</v>
      </c>
    </row>
    <row r="418" spans="1:33" ht="11.25" customHeight="1" x14ac:dyDescent="0.3">
      <c r="A418" s="4" t="s">
        <v>21</v>
      </c>
      <c r="B418" s="4" t="s">
        <v>46</v>
      </c>
      <c r="C418" s="4" t="s">
        <v>23</v>
      </c>
      <c r="D418" s="4" t="s">
        <v>47</v>
      </c>
      <c r="E418" s="4" t="s">
        <v>49</v>
      </c>
      <c r="F418" s="4" t="s">
        <v>25</v>
      </c>
      <c r="G418" s="4" t="s">
        <v>25</v>
      </c>
      <c r="H418" s="4" t="s">
        <v>25</v>
      </c>
      <c r="I418" s="5">
        <v>44774</v>
      </c>
      <c r="J418" s="6">
        <v>0</v>
      </c>
      <c r="K418" s="6">
        <v>0</v>
      </c>
      <c r="L418" s="6">
        <v>123.929</v>
      </c>
      <c r="M418" s="6">
        <v>123.929</v>
      </c>
      <c r="N418" s="6">
        <v>123.929</v>
      </c>
      <c r="O418" s="6">
        <v>123.929</v>
      </c>
      <c r="P418" s="6">
        <v>6</v>
      </c>
      <c r="Q418" s="4" t="s">
        <v>26</v>
      </c>
      <c r="R418" s="4">
        <v>0</v>
      </c>
      <c r="S418" s="6">
        <v>0</v>
      </c>
      <c r="T418" s="6">
        <v>70</v>
      </c>
      <c r="U418" s="6">
        <v>45</v>
      </c>
      <c r="V418" s="6">
        <f>IF(ISERROR(VLOOKUP($S$418,'TAR FIN'!$A$1:$O$85,15,0)),0,VLOOKUP($S$418,'TAR FIN'!$A$1:$O$85,15,0))</f>
        <v>0</v>
      </c>
      <c r="W418" s="6">
        <f>IF(ISERROR(VLOOKUP($T$418,'TAR FIN'!$A$1:$O$85,15,0)),0,VLOOKUP($T$418,'TAR FIN'!$A$1:$O$85,15,0))</f>
        <v>265.77999999999997</v>
      </c>
      <c r="X418" s="6">
        <f>IF(ISERROR(VLOOKUP($U$418,'TAR FIN'!$A$1:$O$85,15,0)),0,VLOOKUP($U$418,'TAR FIN'!$A$1:$O$85,15,0))</f>
        <v>111.45</v>
      </c>
      <c r="Y418" s="6"/>
      <c r="Z418" s="6">
        <f ca="1">('TUSD BE'!$AM$51+'TUSD BF'!$AM$51+'TUSD CVA'!$AM$51)*1</f>
        <v>311.55626268808527</v>
      </c>
      <c r="AA418" s="6">
        <f>('TE BE'!$AB$42+'TE BF'!$AB$42+'TE CVA'!$AB$42)*1</f>
        <v>100.05809889521676</v>
      </c>
      <c r="AB418" s="6">
        <f>$K$418*$V$418</f>
        <v>0</v>
      </c>
      <c r="AC418" s="6">
        <f>$M$418*$W$418</f>
        <v>32937.849619999994</v>
      </c>
      <c r="AD418" s="6">
        <f>$O$418*$X$418</f>
        <v>13811.887050000001</v>
      </c>
      <c r="AE418" s="6">
        <f>$K$418*$Y$418</f>
        <v>0</v>
      </c>
      <c r="AF418" s="6">
        <f ca="1">$M$418*$Z$418</f>
        <v>38610.856078671721</v>
      </c>
      <c r="AG418" s="6">
        <f>$O$418*$AA$418</f>
        <v>12400.100137985319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B8FC-B348-4804-B90B-41BFB0C47D1A}">
  <dimension ref="A1:AJ419"/>
  <sheetViews>
    <sheetView showGridLines="0" topLeftCell="AC1" workbookViewId="0">
      <selection activeCell="AJ12" sqref="AJ12"/>
    </sheetView>
  </sheetViews>
  <sheetFormatPr defaultRowHeight="11.25" customHeight="1" x14ac:dyDescent="0.3"/>
  <cols>
    <col min="1" max="1" width="18" style="4" bestFit="1" customWidth="1"/>
    <col min="2" max="2" width="12.109375" style="4" bestFit="1" customWidth="1"/>
    <col min="3" max="3" width="13.5546875" style="4" bestFit="1" customWidth="1"/>
    <col min="4" max="4" width="10.44140625" style="4" bestFit="1" customWidth="1"/>
    <col min="5" max="5" width="23.109375" style="4" bestFit="1" customWidth="1"/>
    <col min="6" max="6" width="10.6640625" style="4" bestFit="1" customWidth="1"/>
    <col min="7" max="7" width="10.21875" style="4" bestFit="1" customWidth="1"/>
    <col min="8" max="8" width="9.5546875" style="4" bestFit="1" customWidth="1"/>
    <col min="9" max="9" width="10.77734375" style="5" bestFit="1" customWidth="1"/>
    <col min="10" max="10" width="6.21875" style="6" bestFit="1" customWidth="1"/>
    <col min="11" max="11" width="7.5546875" style="6" bestFit="1" customWidth="1"/>
    <col min="12" max="12" width="10.77734375" style="6" bestFit="1" customWidth="1"/>
    <col min="13" max="13" width="12.109375" style="6" bestFit="1" customWidth="1"/>
    <col min="14" max="14" width="8.6640625" style="6" bestFit="1" customWidth="1"/>
    <col min="15" max="15" width="10" style="6" bestFit="1" customWidth="1"/>
    <col min="16" max="16" width="7.21875" style="6" bestFit="1" customWidth="1"/>
    <col min="17" max="17" width="10.44140625" style="4" bestFit="1" customWidth="1"/>
    <col min="18" max="18" width="12.44140625" style="4" bestFit="1" customWidth="1"/>
    <col min="19" max="19" width="21.88671875" style="4" bestFit="1" customWidth="1"/>
    <col min="20" max="20" width="23.21875" style="4" bestFit="1" customWidth="1"/>
    <col min="21" max="21" width="21" style="4" bestFit="1" customWidth="1"/>
    <col min="22" max="22" width="14.88671875" style="4" bestFit="1" customWidth="1"/>
    <col min="23" max="23" width="16.21875" style="4" bestFit="1" customWidth="1"/>
    <col min="24" max="24" width="14.109375" style="4" bestFit="1" customWidth="1"/>
    <col min="25" max="25" width="19.5546875" style="4" bestFit="1" customWidth="1"/>
    <col min="26" max="26" width="20.88671875" style="4" bestFit="1" customWidth="1"/>
    <col min="27" max="27" width="18.77734375" style="4" bestFit="1" customWidth="1"/>
    <col min="28" max="28" width="18.21875" style="4" bestFit="1" customWidth="1"/>
    <col min="29" max="29" width="19.5546875" style="4" bestFit="1" customWidth="1"/>
    <col min="30" max="30" width="18.21875" style="4" bestFit="1" customWidth="1"/>
    <col min="31" max="31" width="19.5546875" style="4" bestFit="1" customWidth="1"/>
    <col min="32" max="32" width="31.6640625" style="4" bestFit="1" customWidth="1"/>
    <col min="33" max="33" width="8.88671875" style="4"/>
    <col min="34" max="34" width="31.6640625" style="4" bestFit="1" customWidth="1"/>
    <col min="35" max="35" width="9.6640625" style="4" bestFit="1" customWidth="1"/>
    <col min="36" max="36" width="8.44140625" style="4" bestFit="1" customWidth="1"/>
    <col min="37" max="16384" width="8.88671875" style="4"/>
  </cols>
  <sheetData>
    <row r="1" spans="1:36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H1" s="34" t="s">
        <v>695</v>
      </c>
      <c r="AI1" s="34" t="s">
        <v>699</v>
      </c>
      <c r="AJ1" s="34" t="s">
        <v>700</v>
      </c>
    </row>
    <row r="2" spans="1:36" ht="11.25" customHeight="1" x14ac:dyDescent="0.3">
      <c r="A2" s="4" t="s">
        <v>21</v>
      </c>
      <c r="B2" s="4" t="s">
        <v>22</v>
      </c>
      <c r="C2" s="4" t="s">
        <v>23</v>
      </c>
      <c r="D2" s="4" t="s">
        <v>24</v>
      </c>
      <c r="E2" s="4" t="s">
        <v>24</v>
      </c>
      <c r="F2" s="4" t="s">
        <v>25</v>
      </c>
      <c r="G2" s="4" t="s">
        <v>25</v>
      </c>
      <c r="H2" s="4" t="s">
        <v>25</v>
      </c>
      <c r="I2" s="5">
        <v>44440</v>
      </c>
      <c r="J2" s="6">
        <v>0</v>
      </c>
      <c r="K2" s="6">
        <v>0</v>
      </c>
      <c r="L2" s="6">
        <v>1219.5219999999999</v>
      </c>
      <c r="M2" s="6">
        <v>1219.5219999999999</v>
      </c>
      <c r="N2" s="6">
        <v>1219.5219999999999</v>
      </c>
      <c r="O2" s="6">
        <v>1219.5219999999999</v>
      </c>
      <c r="P2" s="6">
        <v>7983</v>
      </c>
      <c r="Q2" s="4" t="s">
        <v>26</v>
      </c>
      <c r="R2" s="4">
        <v>0</v>
      </c>
      <c r="S2" s="4">
        <v>0</v>
      </c>
      <c r="T2" s="4">
        <v>32</v>
      </c>
      <c r="U2" s="4">
        <v>76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442.96</v>
      </c>
      <c r="X2" s="6">
        <f>IF(ISERROR(VLOOKUP($U$2,'TAR FIN'!$A$1:$O$85,15,0)),0,VLOOKUP($U$2,'TAR FIN'!$A$1:$O$85,15,0))</f>
        <v>185.74</v>
      </c>
      <c r="Y2" s="6"/>
      <c r="Z2" s="6">
        <f ca="1">('TUSD BE'!$AM$20+'TUSD BF'!$AM$20+'TUSD CVA'!$AM$20)*1</f>
        <v>519.26043781347539</v>
      </c>
      <c r="AA2" s="6">
        <f>('TE BE'!$AB$11+'TE BF'!$AB$11+'TE CVA'!$AB$11)*1</f>
        <v>166.7634981586946</v>
      </c>
      <c r="AB2" s="6">
        <f t="shared" ref="AB2:AB33" si="0">(J2-K2)*V2</f>
        <v>0</v>
      </c>
      <c r="AC2" s="6">
        <f>(L2-M2)*W2+(N2-O2)*X2</f>
        <v>0</v>
      </c>
      <c r="AD2" s="6">
        <f t="shared" ref="AD2:AD33" si="1">(J2-K2)*Y2</f>
        <v>0</v>
      </c>
      <c r="AE2" s="6">
        <f ca="1">(L2-M2)*Z2+(N2-O2)*AA2</f>
        <v>0</v>
      </c>
      <c r="AH2" s="35" t="s">
        <v>701</v>
      </c>
      <c r="AI2" s="36">
        <f t="shared" ref="AI2:AI9" si="2">SUMIF($AF$2:$AF$419,AH2,$AB$2:$AB$419)+SUMIF($AF$2:$AF$419,AH2,$AC$2:$AC$419)</f>
        <v>0</v>
      </c>
      <c r="AJ2" s="36">
        <f t="shared" ref="AJ2:AJ9" si="3">SUMIF($AF$2:$AF$419,AH2,$AD$2:$AD$419)+SUMIF($AF$2:$AF$419,AH2,$AE$2:$AE$419)</f>
        <v>0</v>
      </c>
    </row>
    <row r="3" spans="1:36" ht="11.25" customHeight="1" x14ac:dyDescent="0.3">
      <c r="A3" s="4" t="s">
        <v>21</v>
      </c>
      <c r="B3" s="4" t="s">
        <v>22</v>
      </c>
      <c r="C3" s="4" t="s">
        <v>23</v>
      </c>
      <c r="D3" s="4" t="s">
        <v>24</v>
      </c>
      <c r="E3" s="4" t="s">
        <v>29</v>
      </c>
      <c r="F3" s="4" t="s">
        <v>25</v>
      </c>
      <c r="G3" s="4" t="s">
        <v>25</v>
      </c>
      <c r="H3" s="4" t="s">
        <v>25</v>
      </c>
      <c r="I3" s="5">
        <v>44440</v>
      </c>
      <c r="J3" s="6">
        <v>0</v>
      </c>
      <c r="K3" s="6">
        <v>0</v>
      </c>
      <c r="L3" s="6">
        <v>6.03</v>
      </c>
      <c r="M3" s="6">
        <v>6.03</v>
      </c>
      <c r="N3" s="6">
        <v>6.03</v>
      </c>
      <c r="O3" s="6">
        <v>6.03</v>
      </c>
      <c r="P3" s="6">
        <v>13</v>
      </c>
      <c r="Q3" s="4" t="s">
        <v>26</v>
      </c>
      <c r="R3" s="4">
        <v>0</v>
      </c>
      <c r="S3" s="4">
        <v>0</v>
      </c>
      <c r="T3" s="4">
        <v>34</v>
      </c>
      <c r="U3" s="4">
        <v>77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131.37</v>
      </c>
      <c r="X3" s="6">
        <f>IF(ISERROR(VLOOKUP($U$3,'TAR FIN'!$A$1:$O$85,15,0)),0,VLOOKUP($U$3,'TAR FIN'!$A$1:$O$85,15,0))</f>
        <v>65.010000000000005</v>
      </c>
      <c r="Y3" s="6"/>
      <c r="Z3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3" s="6">
        <f>('TE BE'!$AB$12+'TE BF'!$AB$12+'TE CVA'!$AB$12)*(1-CUSTOS!$M$34)</f>
        <v>58.367224355543108</v>
      </c>
      <c r="AB3" s="6">
        <f t="shared" si="0"/>
        <v>0</v>
      </c>
      <c r="AC3" s="6">
        <f>(L3-M3)*(W3+X3)+($W$53+$X$53-$W$3-$X$3)*(L3)</f>
        <v>2199.2013000000002</v>
      </c>
      <c r="AD3" s="6">
        <f t="shared" si="1"/>
        <v>0</v>
      </c>
      <c r="AE3" s="6">
        <f ca="1">(L3-M3)*(Z3+AA3)+($Z$53+$AA$53-$Z$3-$AA$3)*(L3)</f>
        <v>2272.2371523790448</v>
      </c>
      <c r="AF3" s="4" t="s">
        <v>696</v>
      </c>
      <c r="AH3" s="35" t="s">
        <v>702</v>
      </c>
      <c r="AI3" s="36">
        <f t="shared" si="2"/>
        <v>0</v>
      </c>
      <c r="AJ3" s="36">
        <f t="shared" si="3"/>
        <v>0</v>
      </c>
    </row>
    <row r="4" spans="1:36" ht="11.25" customHeight="1" x14ac:dyDescent="0.3">
      <c r="A4" s="4" t="s">
        <v>21</v>
      </c>
      <c r="B4" s="4" t="s">
        <v>22</v>
      </c>
      <c r="C4" s="4" t="s">
        <v>23</v>
      </c>
      <c r="D4" s="4" t="s">
        <v>24</v>
      </c>
      <c r="E4" s="4" t="s">
        <v>29</v>
      </c>
      <c r="F4" s="4" t="s">
        <v>25</v>
      </c>
      <c r="G4" s="4" t="s">
        <v>25</v>
      </c>
      <c r="H4" s="4" t="s">
        <v>25</v>
      </c>
      <c r="I4" s="5">
        <v>44470</v>
      </c>
      <c r="J4" s="6">
        <v>0</v>
      </c>
      <c r="K4" s="6">
        <v>0</v>
      </c>
      <c r="L4" s="6">
        <v>6</v>
      </c>
      <c r="M4" s="6">
        <v>6</v>
      </c>
      <c r="N4" s="6">
        <v>6</v>
      </c>
      <c r="O4" s="6">
        <v>6</v>
      </c>
      <c r="P4" s="6">
        <v>14</v>
      </c>
      <c r="Q4" s="4" t="s">
        <v>26</v>
      </c>
      <c r="R4" s="4">
        <v>0</v>
      </c>
      <c r="S4" s="4">
        <v>0</v>
      </c>
      <c r="T4" s="4">
        <v>34</v>
      </c>
      <c r="U4" s="4">
        <v>77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131.37</v>
      </c>
      <c r="X4" s="6">
        <f>IF(ISERROR(VLOOKUP($U$4,'TAR FIN'!$A$1:$O$85,15,0)),0,VLOOKUP($U$4,'TAR FIN'!$A$1:$O$85,15,0))</f>
        <v>65.010000000000005</v>
      </c>
      <c r="Y4" s="6"/>
      <c r="Z4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4" s="6">
        <f>('TE BE'!$AB$12+'TE BF'!$AB$12+'TE CVA'!$AB$12)*(1-CUSTOS!$M$34)</f>
        <v>58.367224355543108</v>
      </c>
      <c r="AB4" s="6">
        <f t="shared" si="0"/>
        <v>0</v>
      </c>
      <c r="AC4" s="6">
        <f>(L4-M4)*(W4+X4)+($W$53+$X$53-$W$4-$X$4)*(L4)</f>
        <v>2188.2600000000002</v>
      </c>
      <c r="AD4" s="6">
        <f t="shared" si="1"/>
        <v>0</v>
      </c>
      <c r="AE4" s="6">
        <f ca="1">(L4-M4)*(Z4+AA4)+($Z$53+$AA$53-$Z$4-$AA$4)*(L4)</f>
        <v>2260.9324899293974</v>
      </c>
      <c r="AF4" s="4" t="s">
        <v>696</v>
      </c>
      <c r="AH4" s="35" t="s">
        <v>703</v>
      </c>
      <c r="AI4" s="36">
        <f t="shared" si="2"/>
        <v>0</v>
      </c>
      <c r="AJ4" s="36">
        <f t="shared" si="3"/>
        <v>0</v>
      </c>
    </row>
    <row r="5" spans="1:36" ht="11.25" customHeight="1" x14ac:dyDescent="0.3">
      <c r="A5" s="4" t="s">
        <v>21</v>
      </c>
      <c r="B5" s="4" t="s">
        <v>22</v>
      </c>
      <c r="C5" s="4" t="s">
        <v>23</v>
      </c>
      <c r="D5" s="4" t="s">
        <v>24</v>
      </c>
      <c r="E5" s="4" t="s">
        <v>29</v>
      </c>
      <c r="F5" s="4" t="s">
        <v>25</v>
      </c>
      <c r="G5" s="4" t="s">
        <v>25</v>
      </c>
      <c r="H5" s="4" t="s">
        <v>25</v>
      </c>
      <c r="I5" s="5">
        <v>44501</v>
      </c>
      <c r="J5" s="6">
        <v>0</v>
      </c>
      <c r="K5" s="6">
        <v>0</v>
      </c>
      <c r="L5" s="6">
        <v>6.03</v>
      </c>
      <c r="M5" s="6">
        <v>6.03</v>
      </c>
      <c r="N5" s="6">
        <v>6.03</v>
      </c>
      <c r="O5" s="6">
        <v>6.03</v>
      </c>
      <c r="P5" s="6">
        <v>11</v>
      </c>
      <c r="Q5" s="4" t="s">
        <v>26</v>
      </c>
      <c r="R5" s="4">
        <v>0</v>
      </c>
      <c r="S5" s="4">
        <v>0</v>
      </c>
      <c r="T5" s="4">
        <v>34</v>
      </c>
      <c r="U5" s="4">
        <v>77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131.37</v>
      </c>
      <c r="X5" s="6">
        <f>IF(ISERROR(VLOOKUP($U$5,'TAR FIN'!$A$1:$O$85,15,0)),0,VLOOKUP($U$5,'TAR FIN'!$A$1:$O$85,15,0))</f>
        <v>65.010000000000005</v>
      </c>
      <c r="Y5" s="6"/>
      <c r="Z5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5" s="6">
        <f>('TE BE'!$AB$12+'TE BF'!$AB$12+'TE CVA'!$AB$12)*(1-CUSTOS!$M$34)</f>
        <v>58.367224355543108</v>
      </c>
      <c r="AB5" s="6">
        <f t="shared" si="0"/>
        <v>0</v>
      </c>
      <c r="AC5" s="6">
        <f>(L5-M5)*(W5+X5)+($W$53+$X$53-$W$5-$X$5)*(L5)</f>
        <v>2199.2013000000002</v>
      </c>
      <c r="AD5" s="6">
        <f t="shared" si="1"/>
        <v>0</v>
      </c>
      <c r="AE5" s="6">
        <f ca="1">(L5-M5)*(Z5+AA5)+($Z$53+$AA$53-$Z$5-$AA$5)*(L5)</f>
        <v>2272.2371523790448</v>
      </c>
      <c r="AF5" s="4" t="s">
        <v>696</v>
      </c>
      <c r="AH5" s="35" t="s">
        <v>698</v>
      </c>
      <c r="AI5" s="36">
        <f t="shared" si="2"/>
        <v>2436.1999259999998</v>
      </c>
      <c r="AJ5" s="36">
        <f t="shared" ca="1" si="3"/>
        <v>1329.1645157067196</v>
      </c>
    </row>
    <row r="6" spans="1:36" ht="11.25" customHeight="1" x14ac:dyDescent="0.3">
      <c r="A6" s="4" t="s">
        <v>27</v>
      </c>
      <c r="B6" s="4" t="s">
        <v>22</v>
      </c>
      <c r="C6" s="4" t="s">
        <v>23</v>
      </c>
      <c r="D6" s="4" t="s">
        <v>24</v>
      </c>
      <c r="E6" s="4" t="s">
        <v>29</v>
      </c>
      <c r="F6" s="4" t="s">
        <v>25</v>
      </c>
      <c r="G6" s="4" t="s">
        <v>25</v>
      </c>
      <c r="H6" s="4" t="s">
        <v>25</v>
      </c>
      <c r="I6" s="5">
        <v>44501</v>
      </c>
      <c r="J6" s="6">
        <v>0</v>
      </c>
      <c r="K6" s="6">
        <v>0</v>
      </c>
      <c r="L6" s="6">
        <v>-5.0000000000000001E-3</v>
      </c>
      <c r="M6" s="6">
        <v>-5.0000000000000001E-3</v>
      </c>
      <c r="N6" s="6">
        <v>-5.0000000000000001E-3</v>
      </c>
      <c r="O6" s="6">
        <v>-5.0000000000000001E-3</v>
      </c>
      <c r="P6" s="6">
        <v>0</v>
      </c>
      <c r="Q6" s="4" t="s">
        <v>26</v>
      </c>
      <c r="R6" s="4">
        <v>0</v>
      </c>
      <c r="S6" s="4">
        <v>0</v>
      </c>
      <c r="T6" s="4">
        <v>34</v>
      </c>
      <c r="U6" s="4">
        <v>77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131.37</v>
      </c>
      <c r="X6" s="6">
        <f>IF(ISERROR(VLOOKUP($U$6,'TAR FIN'!$A$1:$O$85,15,0)),0,VLOOKUP($U$6,'TAR FIN'!$A$1:$O$85,15,0))</f>
        <v>65.010000000000005</v>
      </c>
      <c r="Y6" s="6"/>
      <c r="Z6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6" s="6">
        <f>('TE BE'!$AB$12+'TE BF'!$AB$12+'TE CVA'!$AB$12)*(1-CUSTOS!$M$34)</f>
        <v>58.367224355543108</v>
      </c>
      <c r="AB6" s="6">
        <f t="shared" si="0"/>
        <v>0</v>
      </c>
      <c r="AC6" s="6">
        <f>(L6-M6)*(W6+X6)+($W$53+$X$53-$W$6-$X$6)*(L6)</f>
        <v>-1.8235500000000002</v>
      </c>
      <c r="AD6" s="6">
        <f t="shared" si="1"/>
        <v>0</v>
      </c>
      <c r="AE6" s="6">
        <f ca="1">(L6-M6)*(Z6+AA6)+($Z$53+$AA$53-$Z$6-$AA$6)*(L6)</f>
        <v>-1.8841104082744979</v>
      </c>
      <c r="AF6" s="4" t="s">
        <v>696</v>
      </c>
      <c r="AH6" s="35" t="s">
        <v>697</v>
      </c>
      <c r="AI6" s="36">
        <f t="shared" si="2"/>
        <v>1463586.922000001</v>
      </c>
      <c r="AJ6" s="36">
        <f t="shared" ca="1" si="3"/>
        <v>798559.64544101222</v>
      </c>
    </row>
    <row r="7" spans="1:36" ht="11.25" customHeight="1" x14ac:dyDescent="0.3">
      <c r="A7" s="4" t="s">
        <v>28</v>
      </c>
      <c r="B7" s="4" t="s">
        <v>22</v>
      </c>
      <c r="C7" s="4" t="s">
        <v>23</v>
      </c>
      <c r="D7" s="4" t="s">
        <v>24</v>
      </c>
      <c r="E7" s="4" t="s">
        <v>29</v>
      </c>
      <c r="F7" s="4" t="s">
        <v>25</v>
      </c>
      <c r="G7" s="4" t="s">
        <v>25</v>
      </c>
      <c r="H7" s="4" t="s">
        <v>25</v>
      </c>
      <c r="I7" s="5">
        <v>44501</v>
      </c>
      <c r="J7" s="6">
        <v>0</v>
      </c>
      <c r="K7" s="6">
        <v>0</v>
      </c>
      <c r="L7" s="6">
        <v>0.03</v>
      </c>
      <c r="M7" s="6">
        <v>1.0500000000000001E-2</v>
      </c>
      <c r="N7" s="6">
        <v>0.03</v>
      </c>
      <c r="O7" s="6">
        <v>1.0500000000000001E-2</v>
      </c>
      <c r="P7" s="6">
        <v>0</v>
      </c>
      <c r="Q7" s="4" t="s">
        <v>26</v>
      </c>
      <c r="R7" s="4">
        <v>0</v>
      </c>
      <c r="S7" s="4">
        <v>0</v>
      </c>
      <c r="T7" s="4">
        <v>34</v>
      </c>
      <c r="U7" s="4">
        <v>77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131.37</v>
      </c>
      <c r="X7" s="6">
        <f>IF(ISERROR(VLOOKUP($U$7,'TAR FIN'!$A$1:$O$85,15,0)),0,VLOOKUP($U$7,'TAR FIN'!$A$1:$O$85,15,0))</f>
        <v>65.010000000000005</v>
      </c>
      <c r="Y7" s="6"/>
      <c r="Z7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7" s="6">
        <f>('TE BE'!$AB$12+'TE BF'!$AB$12+'TE CVA'!$AB$12)*(1-CUSTOS!$M$34)</f>
        <v>58.367224355543108</v>
      </c>
      <c r="AB7" s="6">
        <f t="shared" si="0"/>
        <v>0</v>
      </c>
      <c r="AC7" s="6">
        <f>(L7-M7)*(W7+X7)+($W$53+$X$53-$W$7-$X$7)*(L7)</f>
        <v>14.770709999999999</v>
      </c>
      <c r="AD7" s="6">
        <f t="shared" si="1"/>
        <v>0</v>
      </c>
      <c r="AE7" s="6">
        <f ca="1">(L7-M7)*(Z7+AA7)+($Z$53+$AA$53-$Z$7-$AA$7)*(L7)</f>
        <v>15.261294307023432</v>
      </c>
      <c r="AF7" s="4" t="s">
        <v>696</v>
      </c>
      <c r="AH7" s="35" t="s">
        <v>704</v>
      </c>
      <c r="AI7" s="36">
        <f t="shared" si="2"/>
        <v>0</v>
      </c>
      <c r="AJ7" s="36">
        <f t="shared" si="3"/>
        <v>0</v>
      </c>
    </row>
    <row r="8" spans="1:36" ht="11.25" customHeight="1" x14ac:dyDescent="0.3">
      <c r="A8" s="4" t="s">
        <v>21</v>
      </c>
      <c r="B8" s="4" t="s">
        <v>22</v>
      </c>
      <c r="C8" s="4" t="s">
        <v>23</v>
      </c>
      <c r="D8" s="4" t="s">
        <v>24</v>
      </c>
      <c r="E8" s="4" t="s">
        <v>29</v>
      </c>
      <c r="F8" s="4" t="s">
        <v>25</v>
      </c>
      <c r="G8" s="4" t="s">
        <v>25</v>
      </c>
      <c r="H8" s="4" t="s">
        <v>25</v>
      </c>
      <c r="I8" s="5">
        <v>44531</v>
      </c>
      <c r="J8" s="6">
        <v>0</v>
      </c>
      <c r="K8" s="6">
        <v>0</v>
      </c>
      <c r="L8" s="6">
        <v>6.03</v>
      </c>
      <c r="M8" s="6">
        <v>6.03</v>
      </c>
      <c r="N8" s="6">
        <v>6.03</v>
      </c>
      <c r="O8" s="6">
        <v>6.03</v>
      </c>
      <c r="P8" s="6">
        <v>12</v>
      </c>
      <c r="Q8" s="4" t="s">
        <v>26</v>
      </c>
      <c r="R8" s="4">
        <v>0</v>
      </c>
      <c r="S8" s="4">
        <v>0</v>
      </c>
      <c r="T8" s="4">
        <v>34</v>
      </c>
      <c r="U8" s="4">
        <v>77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131.37</v>
      </c>
      <c r="X8" s="6">
        <f>IF(ISERROR(VLOOKUP($U$8,'TAR FIN'!$A$1:$O$85,15,0)),0,VLOOKUP($U$8,'TAR FIN'!$A$1:$O$85,15,0))</f>
        <v>65.010000000000005</v>
      </c>
      <c r="Y8" s="6"/>
      <c r="Z8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8" s="6">
        <f>('TE BE'!$AB$12+'TE BF'!$AB$12+'TE CVA'!$AB$12)*(1-CUSTOS!$M$34)</f>
        <v>58.367224355543108</v>
      </c>
      <c r="AB8" s="6">
        <f t="shared" si="0"/>
        <v>0</v>
      </c>
      <c r="AC8" s="6">
        <f>(L8-M8)*(W8+X8)+($W$53+$X$53-$W$8-$X$8)*(L8)</f>
        <v>2199.2013000000002</v>
      </c>
      <c r="AD8" s="6">
        <f t="shared" si="1"/>
        <v>0</v>
      </c>
      <c r="AE8" s="6">
        <f ca="1">(L8-M8)*(Z8+AA8)+($Z$53+$AA$53-$Z$8-$AA$8)*(L8)</f>
        <v>2272.2371523790448</v>
      </c>
      <c r="AF8" s="4" t="s">
        <v>696</v>
      </c>
      <c r="AH8" s="35" t="s">
        <v>696</v>
      </c>
      <c r="AI8" s="36">
        <f t="shared" si="2"/>
        <v>79935.444243000049</v>
      </c>
      <c r="AJ8" s="36">
        <f t="shared" ca="1" si="3"/>
        <v>82593.007367207189</v>
      </c>
    </row>
    <row r="9" spans="1:36" ht="11.25" customHeight="1" x14ac:dyDescent="0.3">
      <c r="A9" s="4" t="s">
        <v>21</v>
      </c>
      <c r="B9" s="4" t="s">
        <v>22</v>
      </c>
      <c r="C9" s="4" t="s">
        <v>23</v>
      </c>
      <c r="D9" s="4" t="s">
        <v>24</v>
      </c>
      <c r="E9" s="4" t="s">
        <v>29</v>
      </c>
      <c r="F9" s="4" t="s">
        <v>25</v>
      </c>
      <c r="G9" s="4" t="s">
        <v>25</v>
      </c>
      <c r="H9" s="4" t="s">
        <v>25</v>
      </c>
      <c r="I9" s="5">
        <v>44562</v>
      </c>
      <c r="J9" s="6">
        <v>0</v>
      </c>
      <c r="K9" s="6">
        <v>0</v>
      </c>
      <c r="L9" s="6">
        <v>5.97</v>
      </c>
      <c r="M9" s="6">
        <v>5.97</v>
      </c>
      <c r="N9" s="6">
        <v>5.97</v>
      </c>
      <c r="O9" s="6">
        <v>5.97</v>
      </c>
      <c r="P9" s="6">
        <v>10</v>
      </c>
      <c r="Q9" s="4" t="s">
        <v>26</v>
      </c>
      <c r="R9" s="4">
        <v>0</v>
      </c>
      <c r="S9" s="4">
        <v>0</v>
      </c>
      <c r="T9" s="4">
        <v>34</v>
      </c>
      <c r="U9" s="4">
        <v>77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131.37</v>
      </c>
      <c r="X9" s="6">
        <f>IF(ISERROR(VLOOKUP($U$9,'TAR FIN'!$A$1:$O$85,15,0)),0,VLOOKUP($U$9,'TAR FIN'!$A$1:$O$85,15,0))</f>
        <v>65.010000000000005</v>
      </c>
      <c r="Y9" s="6"/>
      <c r="Z9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9" s="6">
        <f>('TE BE'!$AB$12+'TE BF'!$AB$12+'TE CVA'!$AB$12)*(1-CUSTOS!$M$34)</f>
        <v>58.367224355543108</v>
      </c>
      <c r="AB9" s="6">
        <f t="shared" si="0"/>
        <v>0</v>
      </c>
      <c r="AC9" s="6">
        <f>(L9-M9)*(W9+X9)+($W$53+$X$53-$W$9-$X$9)*(L9)</f>
        <v>2177.3187000000003</v>
      </c>
      <c r="AD9" s="6">
        <f t="shared" si="1"/>
        <v>0</v>
      </c>
      <c r="AE9" s="6">
        <f ca="1">(L9-M9)*(Z9+AA9)+($Z$53+$AA$53-$Z$9-$AA$9)*(L9)</f>
        <v>2249.6278274797505</v>
      </c>
      <c r="AF9" s="4" t="s">
        <v>696</v>
      </c>
      <c r="AH9" s="35" t="s">
        <v>705</v>
      </c>
      <c r="AI9" s="36">
        <f t="shared" si="2"/>
        <v>0</v>
      </c>
      <c r="AJ9" s="36">
        <f t="shared" si="3"/>
        <v>0</v>
      </c>
    </row>
    <row r="10" spans="1:36" ht="11.25" customHeight="1" x14ac:dyDescent="0.3">
      <c r="A10" s="4" t="s">
        <v>21</v>
      </c>
      <c r="B10" s="4" t="s">
        <v>22</v>
      </c>
      <c r="C10" s="4" t="s">
        <v>23</v>
      </c>
      <c r="D10" s="4" t="s">
        <v>24</v>
      </c>
      <c r="E10" s="4" t="s">
        <v>29</v>
      </c>
      <c r="F10" s="4" t="s">
        <v>25</v>
      </c>
      <c r="G10" s="4" t="s">
        <v>25</v>
      </c>
      <c r="H10" s="4" t="s">
        <v>25</v>
      </c>
      <c r="I10" s="5">
        <v>44593</v>
      </c>
      <c r="J10" s="6">
        <v>0</v>
      </c>
      <c r="K10" s="6">
        <v>0</v>
      </c>
      <c r="L10" s="6">
        <v>5.7750000000000004</v>
      </c>
      <c r="M10" s="6">
        <v>5.7750000000000004</v>
      </c>
      <c r="N10" s="6">
        <v>5.7750000000000004</v>
      </c>
      <c r="O10" s="6">
        <v>5.7750000000000004</v>
      </c>
      <c r="P10" s="6">
        <v>9</v>
      </c>
      <c r="Q10" s="4" t="s">
        <v>26</v>
      </c>
      <c r="R10" s="4">
        <v>0</v>
      </c>
      <c r="S10" s="4">
        <v>0</v>
      </c>
      <c r="T10" s="4">
        <v>34</v>
      </c>
      <c r="U10" s="4">
        <v>77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131.37</v>
      </c>
      <c r="X10" s="6">
        <f>IF(ISERROR(VLOOKUP($U$10,'TAR FIN'!$A$1:$O$85,15,0)),0,VLOOKUP($U$10,'TAR FIN'!$A$1:$O$85,15,0))</f>
        <v>65.010000000000005</v>
      </c>
      <c r="Y10" s="6"/>
      <c r="Z10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0" s="6">
        <f>('TE BE'!$AB$12+'TE BF'!$AB$12+'TE CVA'!$AB$12)*(1-CUSTOS!$M$34)</f>
        <v>58.367224355543108</v>
      </c>
      <c r="AB10" s="6">
        <f t="shared" si="0"/>
        <v>0</v>
      </c>
      <c r="AC10" s="6">
        <f>(L10-M10)*(W10+X10)+($W$53+$X$53-$W$10-$X$10)*(L10)</f>
        <v>2106.2002500000003</v>
      </c>
      <c r="AD10" s="6">
        <f t="shared" si="1"/>
        <v>0</v>
      </c>
      <c r="AE10" s="6">
        <f ca="1">(L10-M10)*(Z10+AA10)+($Z$53+$AA$53-$Z$10-$AA$10)*(L10)</f>
        <v>2176.1475215570454</v>
      </c>
      <c r="AF10" s="4" t="s">
        <v>696</v>
      </c>
    </row>
    <row r="11" spans="1:36" ht="11.25" customHeight="1" x14ac:dyDescent="0.3">
      <c r="A11" s="4" t="s">
        <v>28</v>
      </c>
      <c r="B11" s="4" t="s">
        <v>22</v>
      </c>
      <c r="C11" s="4" t="s">
        <v>23</v>
      </c>
      <c r="D11" s="4" t="s">
        <v>24</v>
      </c>
      <c r="E11" s="4" t="s">
        <v>29</v>
      </c>
      <c r="F11" s="4" t="s">
        <v>25</v>
      </c>
      <c r="G11" s="4" t="s">
        <v>25</v>
      </c>
      <c r="H11" s="4" t="s">
        <v>25</v>
      </c>
      <c r="I11" s="5">
        <v>44593</v>
      </c>
      <c r="J11" s="6">
        <v>0</v>
      </c>
      <c r="K11" s="6">
        <v>0</v>
      </c>
      <c r="L11" s="6">
        <v>0.03</v>
      </c>
      <c r="M11" s="6">
        <v>1.0500000000000001E-2</v>
      </c>
      <c r="N11" s="6">
        <v>0.03</v>
      </c>
      <c r="O11" s="6">
        <v>1.0500000000000001E-2</v>
      </c>
      <c r="P11" s="6">
        <v>0</v>
      </c>
      <c r="Q11" s="4" t="s">
        <v>26</v>
      </c>
      <c r="R11" s="4">
        <v>0</v>
      </c>
      <c r="S11" s="4">
        <v>0</v>
      </c>
      <c r="T11" s="4">
        <v>34</v>
      </c>
      <c r="U11" s="4">
        <v>77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131.37</v>
      </c>
      <c r="X11" s="6">
        <f>IF(ISERROR(VLOOKUP($U$11,'TAR FIN'!$A$1:$O$85,15,0)),0,VLOOKUP($U$11,'TAR FIN'!$A$1:$O$85,15,0))</f>
        <v>65.010000000000005</v>
      </c>
      <c r="Y11" s="6"/>
      <c r="Z11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1" s="6">
        <f>('TE BE'!$AB$12+'TE BF'!$AB$12+'TE CVA'!$AB$12)*(1-CUSTOS!$M$34)</f>
        <v>58.367224355543108</v>
      </c>
      <c r="AB11" s="6">
        <f t="shared" si="0"/>
        <v>0</v>
      </c>
      <c r="AC11" s="6">
        <f>(L11-M11)*(W11+X11)+($W$53+$X$53-$W$11-$X$11)*(L11)</f>
        <v>14.770709999999999</v>
      </c>
      <c r="AD11" s="6">
        <f t="shared" si="1"/>
        <v>0</v>
      </c>
      <c r="AE11" s="6">
        <f ca="1">(L11-M11)*(Z11+AA11)+($Z$53+$AA$53-$Z$11-$AA$11)*(L11)</f>
        <v>15.261294307023432</v>
      </c>
      <c r="AF11" s="4" t="s">
        <v>696</v>
      </c>
      <c r="AJ11" s="6">
        <f ca="1">SUM(AJ2:AJ10)</f>
        <v>882481.81732392614</v>
      </c>
    </row>
    <row r="12" spans="1:36" ht="11.25" customHeight="1" x14ac:dyDescent="0.3">
      <c r="A12" s="4" t="s">
        <v>21</v>
      </c>
      <c r="B12" s="4" t="s">
        <v>22</v>
      </c>
      <c r="C12" s="4" t="s">
        <v>23</v>
      </c>
      <c r="D12" s="4" t="s">
        <v>24</v>
      </c>
      <c r="E12" s="4" t="s">
        <v>29</v>
      </c>
      <c r="F12" s="4" t="s">
        <v>25</v>
      </c>
      <c r="G12" s="4" t="s">
        <v>25</v>
      </c>
      <c r="H12" s="4" t="s">
        <v>25</v>
      </c>
      <c r="I12" s="5">
        <v>44621</v>
      </c>
      <c r="J12" s="6">
        <v>0</v>
      </c>
      <c r="K12" s="6">
        <v>0</v>
      </c>
      <c r="L12" s="6">
        <v>6.54</v>
      </c>
      <c r="M12" s="6">
        <v>6.54</v>
      </c>
      <c r="N12" s="6">
        <v>6.54</v>
      </c>
      <c r="O12" s="6">
        <v>6.54</v>
      </c>
      <c r="P12" s="6">
        <v>13</v>
      </c>
      <c r="Q12" s="4" t="s">
        <v>26</v>
      </c>
      <c r="R12" s="4">
        <v>0</v>
      </c>
      <c r="S12" s="4">
        <v>0</v>
      </c>
      <c r="T12" s="4">
        <v>34</v>
      </c>
      <c r="U12" s="4">
        <v>77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131.37</v>
      </c>
      <c r="X12" s="6">
        <f>IF(ISERROR(VLOOKUP($U$12,'TAR FIN'!$A$1:$O$85,15,0)),0,VLOOKUP($U$12,'TAR FIN'!$A$1:$O$85,15,0))</f>
        <v>65.010000000000005</v>
      </c>
      <c r="Y12" s="6"/>
      <c r="Z12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2" s="6">
        <f>('TE BE'!$AB$12+'TE BF'!$AB$12+'TE CVA'!$AB$12)*(1-CUSTOS!$M$34)</f>
        <v>58.367224355543108</v>
      </c>
      <c r="AB12" s="6">
        <f t="shared" si="0"/>
        <v>0</v>
      </c>
      <c r="AC12" s="6">
        <f>(L12-M12)*(W12+X12)+($W$53+$X$53-$W$12-$X$12)*(L12)</f>
        <v>2385.2034000000003</v>
      </c>
      <c r="AD12" s="6">
        <f t="shared" si="1"/>
        <v>0</v>
      </c>
      <c r="AE12" s="6">
        <f ca="1">(L12-M12)*(Z12+AA12)+($Z$53+$AA$53-$Z$12-$AA$12)*(L12)</f>
        <v>2464.4164140230432</v>
      </c>
      <c r="AF12" s="4" t="s">
        <v>696</v>
      </c>
    </row>
    <row r="13" spans="1:36" ht="11.25" customHeight="1" x14ac:dyDescent="0.3">
      <c r="A13" s="4" t="s">
        <v>28</v>
      </c>
      <c r="B13" s="4" t="s">
        <v>22</v>
      </c>
      <c r="C13" s="4" t="s">
        <v>23</v>
      </c>
      <c r="D13" s="4" t="s">
        <v>24</v>
      </c>
      <c r="E13" s="4" t="s">
        <v>29</v>
      </c>
      <c r="F13" s="4" t="s">
        <v>25</v>
      </c>
      <c r="G13" s="4" t="s">
        <v>25</v>
      </c>
      <c r="H13" s="4" t="s">
        <v>25</v>
      </c>
      <c r="I13" s="5">
        <v>44621</v>
      </c>
      <c r="J13" s="6">
        <v>0</v>
      </c>
      <c r="K13" s="6">
        <v>0</v>
      </c>
      <c r="L13" s="6">
        <v>0.03</v>
      </c>
      <c r="M13" s="6">
        <v>1.0500000000000001E-2</v>
      </c>
      <c r="N13" s="6">
        <v>0.03</v>
      </c>
      <c r="O13" s="6">
        <v>1.0500000000000001E-2</v>
      </c>
      <c r="P13" s="6">
        <v>0</v>
      </c>
      <c r="Q13" s="4" t="s">
        <v>26</v>
      </c>
      <c r="R13" s="4">
        <v>0</v>
      </c>
      <c r="S13" s="4">
        <v>0</v>
      </c>
      <c r="T13" s="4">
        <v>34</v>
      </c>
      <c r="U13" s="4">
        <v>77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131.37</v>
      </c>
      <c r="X13" s="6">
        <f>IF(ISERROR(VLOOKUP($U$13,'TAR FIN'!$A$1:$O$85,15,0)),0,VLOOKUP($U$13,'TAR FIN'!$A$1:$O$85,15,0))</f>
        <v>65.010000000000005</v>
      </c>
      <c r="Y13" s="6"/>
      <c r="Z13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3" s="6">
        <f>('TE BE'!$AB$12+'TE BF'!$AB$12+'TE CVA'!$AB$12)*(1-CUSTOS!$M$34)</f>
        <v>58.367224355543108</v>
      </c>
      <c r="AB13" s="6">
        <f t="shared" si="0"/>
        <v>0</v>
      </c>
      <c r="AC13" s="6">
        <f>(L13-M13)*(W13+X13)+($W$53+$X$53-$W$13-$X$13)*(L13)</f>
        <v>14.770709999999999</v>
      </c>
      <c r="AD13" s="6">
        <f t="shared" si="1"/>
        <v>0</v>
      </c>
      <c r="AE13" s="6">
        <f ca="1">(L13-M13)*(Z13+AA13)+($Z$53+$AA$53-$Z$13-$AA$13)*(L13)</f>
        <v>15.261294307023432</v>
      </c>
      <c r="AF13" s="4" t="s">
        <v>696</v>
      </c>
    </row>
    <row r="14" spans="1:36" ht="11.25" customHeight="1" x14ac:dyDescent="0.3">
      <c r="A14" s="4" t="s">
        <v>21</v>
      </c>
      <c r="B14" s="4" t="s">
        <v>22</v>
      </c>
      <c r="C14" s="4" t="s">
        <v>23</v>
      </c>
      <c r="D14" s="4" t="s">
        <v>24</v>
      </c>
      <c r="E14" s="4" t="s">
        <v>29</v>
      </c>
      <c r="F14" s="4" t="s">
        <v>25</v>
      </c>
      <c r="G14" s="4" t="s">
        <v>25</v>
      </c>
      <c r="H14" s="4" t="s">
        <v>25</v>
      </c>
      <c r="I14" s="5">
        <v>44652</v>
      </c>
      <c r="J14" s="6">
        <v>0</v>
      </c>
      <c r="K14" s="6">
        <v>0</v>
      </c>
      <c r="L14" s="6">
        <v>11.1</v>
      </c>
      <c r="M14" s="6">
        <v>11.1</v>
      </c>
      <c r="N14" s="6">
        <v>11.1</v>
      </c>
      <c r="O14" s="6">
        <v>11.1</v>
      </c>
      <c r="P14" s="6">
        <v>31</v>
      </c>
      <c r="Q14" s="4" t="s">
        <v>26</v>
      </c>
      <c r="R14" s="4">
        <v>0</v>
      </c>
      <c r="S14" s="4">
        <v>0</v>
      </c>
      <c r="T14" s="4">
        <v>34</v>
      </c>
      <c r="U14" s="4">
        <v>77</v>
      </c>
      <c r="V14" s="6">
        <f>IF(ISERROR(VLOOKUP($S$14,'TAR FIN'!$A$1:$O$85,15,0)),0,VLOOKUP($S$14,'TAR FIN'!$A$1:$O$85,15,0))</f>
        <v>0</v>
      </c>
      <c r="W14" s="6">
        <f>IF(ISERROR(VLOOKUP($T$14,'TAR FIN'!$A$1:$O$85,15,0)),0,VLOOKUP($T$14,'TAR FIN'!$A$1:$O$85,15,0))</f>
        <v>131.37</v>
      </c>
      <c r="X14" s="6">
        <f>IF(ISERROR(VLOOKUP($U$14,'TAR FIN'!$A$1:$O$85,15,0)),0,VLOOKUP($U$14,'TAR FIN'!$A$1:$O$85,15,0))</f>
        <v>65.010000000000005</v>
      </c>
      <c r="Y14" s="6"/>
      <c r="Z14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4" s="6">
        <f>('TE BE'!$AB$12+'TE BF'!$AB$12+'TE CVA'!$AB$12)*(1-CUSTOS!$M$34)</f>
        <v>58.367224355543108</v>
      </c>
      <c r="AB14" s="6">
        <f t="shared" si="0"/>
        <v>0</v>
      </c>
      <c r="AC14" s="6">
        <f>(L14-M14)*(W14+X14)+($W$53+$X$53-$W$14-$X$14)*(L14)</f>
        <v>4048.2810000000004</v>
      </c>
      <c r="AD14" s="6">
        <f t="shared" si="1"/>
        <v>0</v>
      </c>
      <c r="AE14" s="6">
        <f ca="1">(L14-M14)*(Z14+AA14)+($Z$53+$AA$53-$Z$14-$AA$14)*(L14)</f>
        <v>4182.7251063693857</v>
      </c>
      <c r="AF14" s="4" t="s">
        <v>696</v>
      </c>
    </row>
    <row r="15" spans="1:36" ht="11.25" customHeight="1" x14ac:dyDescent="0.3">
      <c r="A15" s="4" t="s">
        <v>27</v>
      </c>
      <c r="B15" s="4" t="s">
        <v>22</v>
      </c>
      <c r="C15" s="4" t="s">
        <v>23</v>
      </c>
      <c r="D15" s="4" t="s">
        <v>24</v>
      </c>
      <c r="E15" s="4" t="s">
        <v>29</v>
      </c>
      <c r="F15" s="4" t="s">
        <v>25</v>
      </c>
      <c r="G15" s="4" t="s">
        <v>25</v>
      </c>
      <c r="H15" s="4" t="s">
        <v>25</v>
      </c>
      <c r="I15" s="5">
        <v>44652</v>
      </c>
      <c r="J15" s="6">
        <v>0</v>
      </c>
      <c r="K15" s="6">
        <v>0</v>
      </c>
      <c r="L15" s="6">
        <v>-0.03</v>
      </c>
      <c r="M15" s="6">
        <v>-0.03</v>
      </c>
      <c r="N15" s="6">
        <v>-0.03</v>
      </c>
      <c r="O15" s="6">
        <v>-0.03</v>
      </c>
      <c r="P15" s="6">
        <v>0</v>
      </c>
      <c r="Q15" s="4" t="s">
        <v>26</v>
      </c>
      <c r="R15" s="4">
        <v>0</v>
      </c>
      <c r="S15" s="4">
        <v>0</v>
      </c>
      <c r="T15" s="4">
        <v>34</v>
      </c>
      <c r="U15" s="4">
        <v>77</v>
      </c>
      <c r="V15" s="6">
        <f>IF(ISERROR(VLOOKUP($S$15,'TAR FIN'!$A$1:$O$85,15,0)),0,VLOOKUP($S$15,'TAR FIN'!$A$1:$O$85,15,0))</f>
        <v>0</v>
      </c>
      <c r="W15" s="6">
        <f>IF(ISERROR(VLOOKUP($T$15,'TAR FIN'!$A$1:$O$85,15,0)),0,VLOOKUP($T$15,'TAR FIN'!$A$1:$O$85,15,0))</f>
        <v>131.37</v>
      </c>
      <c r="X15" s="6">
        <f>IF(ISERROR(VLOOKUP($U$15,'TAR FIN'!$A$1:$O$85,15,0)),0,VLOOKUP($U$15,'TAR FIN'!$A$1:$O$85,15,0))</f>
        <v>65.010000000000005</v>
      </c>
      <c r="Y15" s="6"/>
      <c r="Z15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5" s="6">
        <f>('TE BE'!$AB$12+'TE BF'!$AB$12+'TE CVA'!$AB$12)*(1-CUSTOS!$M$34)</f>
        <v>58.367224355543108</v>
      </c>
      <c r="AB15" s="6">
        <f t="shared" si="0"/>
        <v>0</v>
      </c>
      <c r="AC15" s="6">
        <f>(L15-M15)*(W15+X15)+($W$53+$X$53-$W$15-$X$15)*(L15)</f>
        <v>-10.9413</v>
      </c>
      <c r="AD15" s="6">
        <f t="shared" si="1"/>
        <v>0</v>
      </c>
      <c r="AE15" s="6">
        <f ca="1">(L15-M15)*(Z15+AA15)+($Z$53+$AA$53-$Z$15-$AA$15)*(L15)</f>
        <v>-11.304662449646987</v>
      </c>
      <c r="AF15" s="4" t="s">
        <v>696</v>
      </c>
    </row>
    <row r="16" spans="1:36" ht="11.25" customHeight="1" x14ac:dyDescent="0.3">
      <c r="A16" s="4" t="s">
        <v>28</v>
      </c>
      <c r="B16" s="4" t="s">
        <v>22</v>
      </c>
      <c r="C16" s="4" t="s">
        <v>23</v>
      </c>
      <c r="D16" s="4" t="s">
        <v>24</v>
      </c>
      <c r="E16" s="4" t="s">
        <v>29</v>
      </c>
      <c r="F16" s="4" t="s">
        <v>25</v>
      </c>
      <c r="G16" s="4" t="s">
        <v>25</v>
      </c>
      <c r="H16" s="4" t="s">
        <v>25</v>
      </c>
      <c r="I16" s="5">
        <v>44652</v>
      </c>
      <c r="J16" s="6">
        <v>0</v>
      </c>
      <c r="K16" s="6">
        <v>0</v>
      </c>
      <c r="L16" s="6">
        <v>5.2999999999999999E-2</v>
      </c>
      <c r="M16" s="6">
        <v>-5.0349999999999999E-2</v>
      </c>
      <c r="N16" s="6">
        <v>5.2999999999999999E-2</v>
      </c>
      <c r="O16" s="6">
        <v>-5.0349999999999999E-2</v>
      </c>
      <c r="P16" s="6">
        <v>0</v>
      </c>
      <c r="Q16" s="4" t="s">
        <v>26</v>
      </c>
      <c r="R16" s="4">
        <v>0</v>
      </c>
      <c r="S16" s="4">
        <v>0</v>
      </c>
      <c r="T16" s="4">
        <v>34</v>
      </c>
      <c r="U16" s="4">
        <v>77</v>
      </c>
      <c r="V16" s="6">
        <f>IF(ISERROR(VLOOKUP($S$16,'TAR FIN'!$A$1:$O$85,15,0)),0,VLOOKUP($S$16,'TAR FIN'!$A$1:$O$85,15,0))</f>
        <v>0</v>
      </c>
      <c r="W16" s="6">
        <f>IF(ISERROR(VLOOKUP($T$16,'TAR FIN'!$A$1:$O$85,15,0)),0,VLOOKUP($T$16,'TAR FIN'!$A$1:$O$85,15,0))</f>
        <v>131.37</v>
      </c>
      <c r="X16" s="6">
        <f>IF(ISERROR(VLOOKUP($U$16,'TAR FIN'!$A$1:$O$85,15,0)),0,VLOOKUP($U$16,'TAR FIN'!$A$1:$O$85,15,0))</f>
        <v>65.010000000000005</v>
      </c>
      <c r="Y16" s="6"/>
      <c r="Z16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6" s="6">
        <f>('TE BE'!$AB$12+'TE BF'!$AB$12+'TE CVA'!$AB$12)*(1-CUSTOS!$M$34)</f>
        <v>58.367224355543108</v>
      </c>
      <c r="AB16" s="6">
        <f t="shared" si="0"/>
        <v>0</v>
      </c>
      <c r="AC16" s="6">
        <f>(L16-M16)*(W16+X16)+($W$53+$X$53-$W$16-$X$16)*(L16)</f>
        <v>39.625503000000002</v>
      </c>
      <c r="AD16" s="6">
        <f t="shared" si="1"/>
        <v>0</v>
      </c>
      <c r="AE16" s="6">
        <f ca="1">(L16-M16)*(Z16+AA16)+($Z$53+$AA$53-$Z$16-$AA$16)*(L16)</f>
        <v>40.941719171804834</v>
      </c>
      <c r="AF16" s="4" t="s">
        <v>696</v>
      </c>
    </row>
    <row r="17" spans="1:32" ht="11.25" customHeight="1" x14ac:dyDescent="0.3">
      <c r="A17" s="4" t="s">
        <v>21</v>
      </c>
      <c r="B17" s="4" t="s">
        <v>22</v>
      </c>
      <c r="C17" s="4" t="s">
        <v>23</v>
      </c>
      <c r="D17" s="4" t="s">
        <v>24</v>
      </c>
      <c r="E17" s="4" t="s">
        <v>29</v>
      </c>
      <c r="F17" s="4" t="s">
        <v>25</v>
      </c>
      <c r="G17" s="4" t="s">
        <v>25</v>
      </c>
      <c r="H17" s="4" t="s">
        <v>25</v>
      </c>
      <c r="I17" s="5">
        <v>44682</v>
      </c>
      <c r="J17" s="6">
        <v>0</v>
      </c>
      <c r="K17" s="6">
        <v>0</v>
      </c>
      <c r="L17" s="6">
        <v>8.52</v>
      </c>
      <c r="M17" s="6">
        <v>8.52</v>
      </c>
      <c r="N17" s="6">
        <v>8.52</v>
      </c>
      <c r="O17" s="6">
        <v>8.52</v>
      </c>
      <c r="P17" s="6">
        <v>26</v>
      </c>
      <c r="Q17" s="4" t="s">
        <v>26</v>
      </c>
      <c r="R17" s="4">
        <v>0</v>
      </c>
      <c r="S17" s="4">
        <v>0</v>
      </c>
      <c r="T17" s="4">
        <v>34</v>
      </c>
      <c r="U17" s="4">
        <v>77</v>
      </c>
      <c r="V17" s="6">
        <f>IF(ISERROR(VLOOKUP($S$17,'TAR FIN'!$A$1:$O$85,15,0)),0,VLOOKUP($S$17,'TAR FIN'!$A$1:$O$85,15,0))</f>
        <v>0</v>
      </c>
      <c r="W17" s="6">
        <f>IF(ISERROR(VLOOKUP($T$17,'TAR FIN'!$A$1:$O$85,15,0)),0,VLOOKUP($T$17,'TAR FIN'!$A$1:$O$85,15,0))</f>
        <v>131.37</v>
      </c>
      <c r="X17" s="6">
        <f>IF(ISERROR(VLOOKUP($U$17,'TAR FIN'!$A$1:$O$85,15,0)),0,VLOOKUP($U$17,'TAR FIN'!$A$1:$O$85,15,0))</f>
        <v>65.010000000000005</v>
      </c>
      <c r="Y17" s="6"/>
      <c r="Z17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7" s="6">
        <f>('TE BE'!$AB$12+'TE BF'!$AB$12+'TE CVA'!$AB$12)*(1-CUSTOS!$M$34)</f>
        <v>58.367224355543108</v>
      </c>
      <c r="AB17" s="6">
        <f t="shared" si="0"/>
        <v>0</v>
      </c>
      <c r="AC17" s="6">
        <f>(L17-M17)*(W17+X17)+($W$53+$X$53-$W$17-$X$17)*(L17)</f>
        <v>3107.3292000000001</v>
      </c>
      <c r="AD17" s="6">
        <f t="shared" si="1"/>
        <v>0</v>
      </c>
      <c r="AE17" s="6">
        <f ca="1">(L17-M17)*(Z17+AA17)+($Z$53+$AA$53-$Z$17-$AA$17)*(L17)</f>
        <v>3210.5241356997444</v>
      </c>
      <c r="AF17" s="4" t="s">
        <v>696</v>
      </c>
    </row>
    <row r="18" spans="1:32" ht="11.25" customHeight="1" x14ac:dyDescent="0.3">
      <c r="A18" s="4" t="s">
        <v>28</v>
      </c>
      <c r="B18" s="4" t="s">
        <v>22</v>
      </c>
      <c r="C18" s="4" t="s">
        <v>23</v>
      </c>
      <c r="D18" s="4" t="s">
        <v>24</v>
      </c>
      <c r="E18" s="4" t="s">
        <v>29</v>
      </c>
      <c r="F18" s="4" t="s">
        <v>25</v>
      </c>
      <c r="G18" s="4" t="s">
        <v>25</v>
      </c>
      <c r="H18" s="4" t="s">
        <v>25</v>
      </c>
      <c r="I18" s="5">
        <v>44682</v>
      </c>
      <c r="J18" s="6">
        <v>0</v>
      </c>
      <c r="K18" s="6">
        <v>0</v>
      </c>
      <c r="L18" s="6">
        <v>0.03</v>
      </c>
      <c r="M18" s="6">
        <v>-2.8500000000000001E-2</v>
      </c>
      <c r="N18" s="6">
        <v>0.03</v>
      </c>
      <c r="O18" s="6">
        <v>-2.8500000000000001E-2</v>
      </c>
      <c r="P18" s="6">
        <v>0</v>
      </c>
      <c r="Q18" s="4" t="s">
        <v>26</v>
      </c>
      <c r="R18" s="4">
        <v>0</v>
      </c>
      <c r="S18" s="4">
        <v>0</v>
      </c>
      <c r="T18" s="4">
        <v>34</v>
      </c>
      <c r="U18" s="4">
        <v>77</v>
      </c>
      <c r="V18" s="6">
        <f>IF(ISERROR(VLOOKUP($S$18,'TAR FIN'!$A$1:$O$85,15,0)),0,VLOOKUP($S$18,'TAR FIN'!$A$1:$O$85,15,0))</f>
        <v>0</v>
      </c>
      <c r="W18" s="6">
        <f>IF(ISERROR(VLOOKUP($T$18,'TAR FIN'!$A$1:$O$85,15,0)),0,VLOOKUP($T$18,'TAR FIN'!$A$1:$O$85,15,0))</f>
        <v>131.37</v>
      </c>
      <c r="X18" s="6">
        <f>IF(ISERROR(VLOOKUP($U$18,'TAR FIN'!$A$1:$O$85,15,0)),0,VLOOKUP($U$18,'TAR FIN'!$A$1:$O$85,15,0))</f>
        <v>65.010000000000005</v>
      </c>
      <c r="Y18" s="6"/>
      <c r="Z18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8" s="6">
        <f>('TE BE'!$AB$12+'TE BF'!$AB$12+'TE CVA'!$AB$12)*(1-CUSTOS!$M$34)</f>
        <v>58.367224355543108</v>
      </c>
      <c r="AB18" s="6">
        <f t="shared" si="0"/>
        <v>0</v>
      </c>
      <c r="AC18" s="6">
        <f>(L18-M18)*(W18+X18)+($W$53+$X$53-$W$18-$X$18)*(L18)</f>
        <v>22.42953</v>
      </c>
      <c r="AD18" s="6">
        <f t="shared" si="1"/>
        <v>0</v>
      </c>
      <c r="AE18" s="6">
        <f ca="1">(L18-M18)*(Z18+AA18)+($Z$53+$AA$53-$Z$18-$AA$18)*(L18)</f>
        <v>23.174558021776321</v>
      </c>
      <c r="AF18" s="4" t="s">
        <v>696</v>
      </c>
    </row>
    <row r="19" spans="1:32" ht="11.25" customHeight="1" x14ac:dyDescent="0.3">
      <c r="A19" s="4" t="s">
        <v>21</v>
      </c>
      <c r="B19" s="4" t="s">
        <v>22</v>
      </c>
      <c r="C19" s="4" t="s">
        <v>23</v>
      </c>
      <c r="D19" s="4" t="s">
        <v>24</v>
      </c>
      <c r="E19" s="4" t="s">
        <v>29</v>
      </c>
      <c r="F19" s="4" t="s">
        <v>25</v>
      </c>
      <c r="G19" s="4" t="s">
        <v>25</v>
      </c>
      <c r="H19" s="4" t="s">
        <v>25</v>
      </c>
      <c r="I19" s="5">
        <v>44713</v>
      </c>
      <c r="J19" s="6">
        <v>0</v>
      </c>
      <c r="K19" s="6">
        <v>0</v>
      </c>
      <c r="L19" s="6">
        <v>8.6999999999999993</v>
      </c>
      <c r="M19" s="6">
        <v>8.6999999999999993</v>
      </c>
      <c r="N19" s="6">
        <v>8.6999999999999993</v>
      </c>
      <c r="O19" s="6">
        <v>8.6999999999999993</v>
      </c>
      <c r="P19" s="6">
        <v>29</v>
      </c>
      <c r="Q19" s="4" t="s">
        <v>26</v>
      </c>
      <c r="R19" s="4">
        <v>0</v>
      </c>
      <c r="S19" s="4">
        <v>0</v>
      </c>
      <c r="T19" s="4">
        <v>34</v>
      </c>
      <c r="U19" s="4">
        <v>77</v>
      </c>
      <c r="V19" s="6">
        <f>IF(ISERROR(VLOOKUP($S$19,'TAR FIN'!$A$1:$O$85,15,0)),0,VLOOKUP($S$19,'TAR FIN'!$A$1:$O$85,15,0))</f>
        <v>0</v>
      </c>
      <c r="W19" s="6">
        <f>IF(ISERROR(VLOOKUP($T$19,'TAR FIN'!$A$1:$O$85,15,0)),0,VLOOKUP($T$19,'TAR FIN'!$A$1:$O$85,15,0))</f>
        <v>131.37</v>
      </c>
      <c r="X19" s="6">
        <f>IF(ISERROR(VLOOKUP($U$19,'TAR FIN'!$A$1:$O$85,15,0)),0,VLOOKUP($U$19,'TAR FIN'!$A$1:$O$85,15,0))</f>
        <v>65.010000000000005</v>
      </c>
      <c r="Y19" s="6"/>
      <c r="Z19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19" s="6">
        <f>('TE BE'!$AB$12+'TE BF'!$AB$12+'TE CVA'!$AB$12)*(1-CUSTOS!$M$34)</f>
        <v>58.367224355543108</v>
      </c>
      <c r="AB19" s="6">
        <f t="shared" si="0"/>
        <v>0</v>
      </c>
      <c r="AC19" s="6">
        <f>(L19-M19)*(W19+X19)+($W$53+$X$53-$W$19-$X$19)*(L19)</f>
        <v>3172.9769999999999</v>
      </c>
      <c r="AD19" s="6">
        <f t="shared" si="1"/>
        <v>0</v>
      </c>
      <c r="AE19" s="6">
        <f ca="1">(L19-M19)*(Z19+AA19)+($Z$53+$AA$53-$Z$19-$AA$19)*(L19)</f>
        <v>3278.3521103976263</v>
      </c>
      <c r="AF19" s="4" t="s">
        <v>696</v>
      </c>
    </row>
    <row r="20" spans="1:32" ht="11.25" customHeight="1" x14ac:dyDescent="0.3">
      <c r="A20" s="4" t="s">
        <v>21</v>
      </c>
      <c r="B20" s="4" t="s">
        <v>22</v>
      </c>
      <c r="C20" s="4" t="s">
        <v>23</v>
      </c>
      <c r="D20" s="4" t="s">
        <v>24</v>
      </c>
      <c r="E20" s="4" t="s">
        <v>29</v>
      </c>
      <c r="F20" s="4" t="s">
        <v>25</v>
      </c>
      <c r="G20" s="4" t="s">
        <v>25</v>
      </c>
      <c r="H20" s="4" t="s">
        <v>25</v>
      </c>
      <c r="I20" s="5">
        <v>44743</v>
      </c>
      <c r="J20" s="6">
        <v>0</v>
      </c>
      <c r="K20" s="6">
        <v>0</v>
      </c>
      <c r="L20" s="6">
        <v>8.5500000000000007</v>
      </c>
      <c r="M20" s="6">
        <v>8.5500000000000007</v>
      </c>
      <c r="N20" s="6">
        <v>8.5500000000000007</v>
      </c>
      <c r="O20" s="6">
        <v>8.5500000000000007</v>
      </c>
      <c r="P20" s="6">
        <v>29</v>
      </c>
      <c r="Q20" s="4" t="s">
        <v>26</v>
      </c>
      <c r="R20" s="4">
        <v>0</v>
      </c>
      <c r="S20" s="4">
        <v>0</v>
      </c>
      <c r="T20" s="4">
        <v>34</v>
      </c>
      <c r="U20" s="4">
        <v>77</v>
      </c>
      <c r="V20" s="6">
        <f>IF(ISERROR(VLOOKUP($S$20,'TAR FIN'!$A$1:$O$85,15,0)),0,VLOOKUP($S$20,'TAR FIN'!$A$1:$O$85,15,0))</f>
        <v>0</v>
      </c>
      <c r="W20" s="6">
        <f>IF(ISERROR(VLOOKUP($T$20,'TAR FIN'!$A$1:$O$85,15,0)),0,VLOOKUP($T$20,'TAR FIN'!$A$1:$O$85,15,0))</f>
        <v>131.37</v>
      </c>
      <c r="X20" s="6">
        <f>IF(ISERROR(VLOOKUP($U$20,'TAR FIN'!$A$1:$O$85,15,0)),0,VLOOKUP($U$20,'TAR FIN'!$A$1:$O$85,15,0))</f>
        <v>65.010000000000005</v>
      </c>
      <c r="Y20" s="6"/>
      <c r="Z20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20" s="6">
        <f>('TE BE'!$AB$12+'TE BF'!$AB$12+'TE CVA'!$AB$12)*(1-CUSTOS!$M$34)</f>
        <v>58.367224355543108</v>
      </c>
      <c r="AB20" s="6">
        <f t="shared" si="0"/>
        <v>0</v>
      </c>
      <c r="AC20" s="6">
        <f>(L20-M20)*(W20+X20)+($W$53+$X$53-$W$20-$X$20)*(L20)</f>
        <v>3118.2705000000005</v>
      </c>
      <c r="AD20" s="6">
        <f t="shared" si="1"/>
        <v>0</v>
      </c>
      <c r="AE20" s="6">
        <f ca="1">(L20-M20)*(Z20+AA20)+($Z$53+$AA$53-$Z$20-$AA$20)*(L20)</f>
        <v>3221.8287981493918</v>
      </c>
      <c r="AF20" s="4" t="s">
        <v>696</v>
      </c>
    </row>
    <row r="21" spans="1:32" ht="11.25" customHeight="1" x14ac:dyDescent="0.3">
      <c r="A21" s="4" t="s">
        <v>21</v>
      </c>
      <c r="B21" s="4" t="s">
        <v>22</v>
      </c>
      <c r="C21" s="4" t="s">
        <v>23</v>
      </c>
      <c r="D21" s="4" t="s">
        <v>24</v>
      </c>
      <c r="E21" s="4" t="s">
        <v>29</v>
      </c>
      <c r="F21" s="4" t="s">
        <v>25</v>
      </c>
      <c r="G21" s="4" t="s">
        <v>25</v>
      </c>
      <c r="H21" s="4" t="s">
        <v>25</v>
      </c>
      <c r="I21" s="5">
        <v>44774</v>
      </c>
      <c r="J21" s="6">
        <v>0</v>
      </c>
      <c r="K21" s="6">
        <v>0</v>
      </c>
      <c r="L21" s="6">
        <v>6.75</v>
      </c>
      <c r="M21" s="6">
        <v>6.75</v>
      </c>
      <c r="N21" s="6">
        <v>6.75</v>
      </c>
      <c r="O21" s="6">
        <v>6.75</v>
      </c>
      <c r="P21" s="6">
        <v>19</v>
      </c>
      <c r="Q21" s="4" t="s">
        <v>26</v>
      </c>
      <c r="R21" s="4">
        <v>0</v>
      </c>
      <c r="S21" s="4">
        <v>0</v>
      </c>
      <c r="T21" s="4">
        <v>34</v>
      </c>
      <c r="U21" s="4">
        <v>77</v>
      </c>
      <c r="V21" s="6">
        <f>IF(ISERROR(VLOOKUP($S$21,'TAR FIN'!$A$1:$O$85,15,0)),0,VLOOKUP($S$21,'TAR FIN'!$A$1:$O$85,15,0))</f>
        <v>0</v>
      </c>
      <c r="W21" s="6">
        <f>IF(ISERROR(VLOOKUP($T$21,'TAR FIN'!$A$1:$O$85,15,0)),0,VLOOKUP($T$21,'TAR FIN'!$A$1:$O$85,15,0))</f>
        <v>131.37</v>
      </c>
      <c r="X21" s="6">
        <f>IF(ISERROR(VLOOKUP($U$21,'TAR FIN'!$A$1:$O$85,15,0)),0,VLOOKUP($U$21,'TAR FIN'!$A$1:$O$85,15,0))</f>
        <v>65.010000000000005</v>
      </c>
      <c r="Y21" s="6"/>
      <c r="Z21" s="6">
        <f ca="1">('TUSD BE'!$AM$21+'TUSD BF'!$AM$21+'TUSD CVA'!$AM$21-('TUSD BE'!$P$21+'TUSD BF'!$P$21+'TUSD CVA'!$P$21)-('TUSD BE'!$Q$21+'TUSD BF'!$Q$21+'TUSD CVA'!$Q$21)-('TUSD BE'!$R$21+'TUSD BF'!$R$21+'TUSD CVA'!$R$21))*(1-CUSTOS!$M$34)</f>
        <v>144.53697345863358</v>
      </c>
      <c r="AA21" s="6">
        <f>('TE BE'!$AB$12+'TE BF'!$AB$12+'TE CVA'!$AB$12)*(1-CUSTOS!$M$34)</f>
        <v>58.367224355543108</v>
      </c>
      <c r="AB21" s="6">
        <f t="shared" si="0"/>
        <v>0</v>
      </c>
      <c r="AC21" s="6">
        <f>(L21-M21)*(W21+X21)+($W$53+$X$53-$W$21-$X$21)*(L21)</f>
        <v>2461.7925000000005</v>
      </c>
      <c r="AD21" s="6">
        <f t="shared" si="1"/>
        <v>0</v>
      </c>
      <c r="AE21" s="6">
        <f ca="1">(L21-M21)*(Z21+AA21)+($Z$53+$AA$53-$Z$21-$AA$21)*(L21)</f>
        <v>2543.5490511705721</v>
      </c>
      <c r="AF21" s="4" t="s">
        <v>696</v>
      </c>
    </row>
    <row r="22" spans="1:32" ht="11.25" customHeight="1" x14ac:dyDescent="0.3">
      <c r="A22" s="4" t="s">
        <v>21</v>
      </c>
      <c r="B22" s="4" t="s">
        <v>22</v>
      </c>
      <c r="C22" s="4" t="s">
        <v>23</v>
      </c>
      <c r="D22" s="4" t="s">
        <v>24</v>
      </c>
      <c r="E22" s="4" t="s">
        <v>30</v>
      </c>
      <c r="F22" s="4" t="s">
        <v>25</v>
      </c>
      <c r="G22" s="4" t="s">
        <v>25</v>
      </c>
      <c r="H22" s="4" t="s">
        <v>25</v>
      </c>
      <c r="I22" s="5">
        <v>44440</v>
      </c>
      <c r="J22" s="6">
        <v>0</v>
      </c>
      <c r="K22" s="6">
        <v>0</v>
      </c>
      <c r="L22" s="6">
        <v>12.154999999999999</v>
      </c>
      <c r="M22" s="6">
        <v>12.154999999999999</v>
      </c>
      <c r="N22" s="6">
        <v>12.154999999999999</v>
      </c>
      <c r="O22" s="6">
        <v>12.154999999999999</v>
      </c>
      <c r="P22" s="6">
        <v>36</v>
      </c>
      <c r="Q22" s="4" t="s">
        <v>26</v>
      </c>
      <c r="R22" s="4">
        <v>0</v>
      </c>
      <c r="S22" s="4">
        <v>0</v>
      </c>
      <c r="T22" s="4">
        <v>36</v>
      </c>
      <c r="U22" s="4">
        <v>78</v>
      </c>
      <c r="V22" s="6">
        <f>IF(ISERROR(VLOOKUP($S$22,'TAR FIN'!$A$1:$O$85,15,0)),0,VLOOKUP($S$22,'TAR FIN'!$A$1:$O$85,15,0))</f>
        <v>0</v>
      </c>
      <c r="W22" s="6">
        <f>IF(ISERROR(VLOOKUP($T$22,'TAR FIN'!$A$1:$O$85,15,0)),0,VLOOKUP($T$22,'TAR FIN'!$A$1:$O$85,15,0))</f>
        <v>225.21</v>
      </c>
      <c r="X22" s="6">
        <f>IF(ISERROR(VLOOKUP($U$22,'TAR FIN'!$A$1:$O$85,15,0)),0,VLOOKUP($U$22,'TAR FIN'!$A$1:$O$85,15,0))</f>
        <v>111.45</v>
      </c>
      <c r="Y22" s="6"/>
      <c r="Z22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2" s="6">
        <f>('TE BE'!$AB$13+'TE BF'!$AB$13+'TE CVA'!$AB$13)*(1-CUSTOS!$M$35)</f>
        <v>100.05809889521676</v>
      </c>
      <c r="AB22" s="6">
        <f t="shared" si="0"/>
        <v>0</v>
      </c>
      <c r="AC22" s="6">
        <f>(L22-M22)*(W22+X22)+($W$53+$X$53-$W$22-$X$22)*(L22)</f>
        <v>2727.9466499999999</v>
      </c>
      <c r="AD22" s="6">
        <f t="shared" si="1"/>
        <v>0</v>
      </c>
      <c r="AE22" s="6">
        <f ca="1">(L22-M22)*(Z22+AA22)+($Z$53+$AA$53-$Z$22-$AA$22)*(L22)</f>
        <v>2818.629170778649</v>
      </c>
      <c r="AF22" s="4" t="s">
        <v>696</v>
      </c>
    </row>
    <row r="23" spans="1:32" ht="11.25" customHeight="1" x14ac:dyDescent="0.3">
      <c r="A23" s="4" t="s">
        <v>21</v>
      </c>
      <c r="B23" s="4" t="s">
        <v>22</v>
      </c>
      <c r="C23" s="4" t="s">
        <v>23</v>
      </c>
      <c r="D23" s="4" t="s">
        <v>24</v>
      </c>
      <c r="E23" s="4" t="s">
        <v>30</v>
      </c>
      <c r="F23" s="4" t="s">
        <v>25</v>
      </c>
      <c r="G23" s="4" t="s">
        <v>25</v>
      </c>
      <c r="H23" s="4" t="s">
        <v>25</v>
      </c>
      <c r="I23" s="5">
        <v>44470</v>
      </c>
      <c r="J23" s="6">
        <v>0</v>
      </c>
      <c r="K23" s="6">
        <v>0</v>
      </c>
      <c r="L23" s="6">
        <v>12.137</v>
      </c>
      <c r="M23" s="6">
        <v>12.137</v>
      </c>
      <c r="N23" s="6">
        <v>12.137</v>
      </c>
      <c r="O23" s="6">
        <v>12.137</v>
      </c>
      <c r="P23" s="6">
        <v>37</v>
      </c>
      <c r="Q23" s="4" t="s">
        <v>26</v>
      </c>
      <c r="R23" s="4">
        <v>0</v>
      </c>
      <c r="S23" s="4">
        <v>0</v>
      </c>
      <c r="T23" s="4">
        <v>36</v>
      </c>
      <c r="U23" s="4">
        <v>78</v>
      </c>
      <c r="V23" s="6">
        <f>IF(ISERROR(VLOOKUP($S$23,'TAR FIN'!$A$1:$O$85,15,0)),0,VLOOKUP($S$23,'TAR FIN'!$A$1:$O$85,15,0))</f>
        <v>0</v>
      </c>
      <c r="W23" s="6">
        <f>IF(ISERROR(VLOOKUP($T$23,'TAR FIN'!$A$1:$O$85,15,0)),0,VLOOKUP($T$23,'TAR FIN'!$A$1:$O$85,15,0))</f>
        <v>225.21</v>
      </c>
      <c r="X23" s="6">
        <f>IF(ISERROR(VLOOKUP($U$23,'TAR FIN'!$A$1:$O$85,15,0)),0,VLOOKUP($U$23,'TAR FIN'!$A$1:$O$85,15,0))</f>
        <v>111.45</v>
      </c>
      <c r="Y23" s="6"/>
      <c r="Z23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3" s="6">
        <f>('TE BE'!$AB$13+'TE BF'!$AB$13+'TE CVA'!$AB$13)*(1-CUSTOS!$M$35)</f>
        <v>100.05809889521676</v>
      </c>
      <c r="AB23" s="6">
        <f t="shared" si="0"/>
        <v>0</v>
      </c>
      <c r="AC23" s="6">
        <f>(L23-M23)*(W23+X23)+($W$53+$X$53-$W$23-$X$23)*(L23)</f>
        <v>2723.9069100000002</v>
      </c>
      <c r="AD23" s="6">
        <f t="shared" si="1"/>
        <v>0</v>
      </c>
      <c r="AE23" s="6">
        <f ca="1">(L23-M23)*(Z23+AA23)+($Z$53+$AA$53-$Z$23-$AA$23)*(L23)</f>
        <v>2814.4551415664719</v>
      </c>
      <c r="AF23" s="4" t="s">
        <v>696</v>
      </c>
    </row>
    <row r="24" spans="1:32" ht="11.25" customHeight="1" x14ac:dyDescent="0.3">
      <c r="A24" s="4" t="s">
        <v>21</v>
      </c>
      <c r="B24" s="4" t="s">
        <v>22</v>
      </c>
      <c r="C24" s="4" t="s">
        <v>23</v>
      </c>
      <c r="D24" s="4" t="s">
        <v>24</v>
      </c>
      <c r="E24" s="4" t="s">
        <v>30</v>
      </c>
      <c r="F24" s="4" t="s">
        <v>25</v>
      </c>
      <c r="G24" s="4" t="s">
        <v>25</v>
      </c>
      <c r="H24" s="4" t="s">
        <v>25</v>
      </c>
      <c r="I24" s="5">
        <v>44501</v>
      </c>
      <c r="J24" s="6">
        <v>0</v>
      </c>
      <c r="K24" s="6">
        <v>0</v>
      </c>
      <c r="L24" s="6">
        <v>12.07</v>
      </c>
      <c r="M24" s="6">
        <v>12.07</v>
      </c>
      <c r="N24" s="6">
        <v>12.07</v>
      </c>
      <c r="O24" s="6">
        <v>12.07</v>
      </c>
      <c r="P24" s="6">
        <v>48</v>
      </c>
      <c r="Q24" s="4" t="s">
        <v>26</v>
      </c>
      <c r="R24" s="4">
        <v>0</v>
      </c>
      <c r="S24" s="4">
        <v>0</v>
      </c>
      <c r="T24" s="4">
        <v>36</v>
      </c>
      <c r="U24" s="4">
        <v>78</v>
      </c>
      <c r="V24" s="6">
        <f>IF(ISERROR(VLOOKUP($S$24,'TAR FIN'!$A$1:$O$85,15,0)),0,VLOOKUP($S$24,'TAR FIN'!$A$1:$O$85,15,0))</f>
        <v>0</v>
      </c>
      <c r="W24" s="6">
        <f>IF(ISERROR(VLOOKUP($T$24,'TAR FIN'!$A$1:$O$85,15,0)),0,VLOOKUP($T$24,'TAR FIN'!$A$1:$O$85,15,0))</f>
        <v>225.21</v>
      </c>
      <c r="X24" s="6">
        <f>IF(ISERROR(VLOOKUP($U$24,'TAR FIN'!$A$1:$O$85,15,0)),0,VLOOKUP($U$24,'TAR FIN'!$A$1:$O$85,15,0))</f>
        <v>111.45</v>
      </c>
      <c r="Y24" s="6"/>
      <c r="Z24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4" s="6">
        <f>('TE BE'!$AB$13+'TE BF'!$AB$13+'TE CVA'!$AB$13)*(1-CUSTOS!$M$35)</f>
        <v>100.05809889521676</v>
      </c>
      <c r="AB24" s="6">
        <f t="shared" si="0"/>
        <v>0</v>
      </c>
      <c r="AC24" s="6">
        <f>(L24-M24)*(W24+X24)+($W$53+$X$53-$W$24-$X$24)*(L24)</f>
        <v>2708.8701000000001</v>
      </c>
      <c r="AD24" s="6">
        <f t="shared" si="1"/>
        <v>0</v>
      </c>
      <c r="AE24" s="6">
        <f ca="1">(L24-M24)*(Z24+AA24)+($Z$53+$AA$53-$Z$24-$AA$24)*(L24)</f>
        <v>2798.9184772767007</v>
      </c>
      <c r="AF24" s="4" t="s">
        <v>696</v>
      </c>
    </row>
    <row r="25" spans="1:32" ht="11.25" customHeight="1" x14ac:dyDescent="0.3">
      <c r="A25" s="4" t="s">
        <v>27</v>
      </c>
      <c r="B25" s="4" t="s">
        <v>22</v>
      </c>
      <c r="C25" s="4" t="s">
        <v>23</v>
      </c>
      <c r="D25" s="4" t="s">
        <v>24</v>
      </c>
      <c r="E25" s="4" t="s">
        <v>30</v>
      </c>
      <c r="F25" s="4" t="s">
        <v>25</v>
      </c>
      <c r="G25" s="4" t="s">
        <v>25</v>
      </c>
      <c r="H25" s="4" t="s">
        <v>25</v>
      </c>
      <c r="I25" s="5">
        <v>44501</v>
      </c>
      <c r="J25" s="6">
        <v>0</v>
      </c>
      <c r="K25" s="6">
        <v>0</v>
      </c>
      <c r="L25" s="6">
        <v>-5.1999999999999998E-2</v>
      </c>
      <c r="M25" s="6">
        <v>-5.1999999999999998E-2</v>
      </c>
      <c r="N25" s="6">
        <v>-5.1999999999999998E-2</v>
      </c>
      <c r="O25" s="6">
        <v>-5.1999999999999998E-2</v>
      </c>
      <c r="P25" s="6">
        <v>0</v>
      </c>
      <c r="Q25" s="4" t="s">
        <v>26</v>
      </c>
      <c r="R25" s="4">
        <v>0</v>
      </c>
      <c r="S25" s="4">
        <v>0</v>
      </c>
      <c r="T25" s="4">
        <v>36</v>
      </c>
      <c r="U25" s="4">
        <v>78</v>
      </c>
      <c r="V25" s="6">
        <f>IF(ISERROR(VLOOKUP($S$25,'TAR FIN'!$A$1:$O$85,15,0)),0,VLOOKUP($S$25,'TAR FIN'!$A$1:$O$85,15,0))</f>
        <v>0</v>
      </c>
      <c r="W25" s="6">
        <f>IF(ISERROR(VLOOKUP($T$25,'TAR FIN'!$A$1:$O$85,15,0)),0,VLOOKUP($T$25,'TAR FIN'!$A$1:$O$85,15,0))</f>
        <v>225.21</v>
      </c>
      <c r="X25" s="6">
        <f>IF(ISERROR(VLOOKUP($U$25,'TAR FIN'!$A$1:$O$85,15,0)),0,VLOOKUP($U$25,'TAR FIN'!$A$1:$O$85,15,0))</f>
        <v>111.45</v>
      </c>
      <c r="Y25" s="6"/>
      <c r="Z25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5" s="6">
        <f>('TE BE'!$AB$13+'TE BF'!$AB$13+'TE CVA'!$AB$13)*(1-CUSTOS!$M$35)</f>
        <v>100.05809889521676</v>
      </c>
      <c r="AB25" s="6">
        <f t="shared" si="0"/>
        <v>0</v>
      </c>
      <c r="AC25" s="6">
        <f>(L25-M25)*(W25+X25)+($W$53+$X$53-$W$25-$X$25)*(L25)</f>
        <v>-11.670360000000001</v>
      </c>
      <c r="AD25" s="6">
        <f t="shared" si="1"/>
        <v>0</v>
      </c>
      <c r="AE25" s="6">
        <f ca="1">(L25-M25)*(Z25+AA25)+($Z$53+$AA$53-$Z$25-$AA$25)*(L25)</f>
        <v>-12.058306612956788</v>
      </c>
      <c r="AF25" s="4" t="s">
        <v>696</v>
      </c>
    </row>
    <row r="26" spans="1:32" ht="11.25" customHeight="1" x14ac:dyDescent="0.3">
      <c r="A26" s="4" t="s">
        <v>28</v>
      </c>
      <c r="B26" s="4" t="s">
        <v>22</v>
      </c>
      <c r="C26" s="4" t="s">
        <v>23</v>
      </c>
      <c r="D26" s="4" t="s">
        <v>24</v>
      </c>
      <c r="E26" s="4" t="s">
        <v>30</v>
      </c>
      <c r="F26" s="4" t="s">
        <v>25</v>
      </c>
      <c r="G26" s="4" t="s">
        <v>25</v>
      </c>
      <c r="H26" s="4" t="s">
        <v>25</v>
      </c>
      <c r="I26" s="5">
        <v>44501</v>
      </c>
      <c r="J26" s="6">
        <v>0</v>
      </c>
      <c r="K26" s="6">
        <v>0</v>
      </c>
      <c r="L26" s="6">
        <v>2.8000000000000001E-2</v>
      </c>
      <c r="M26" s="6">
        <v>1.6799999999999999E-2</v>
      </c>
      <c r="N26" s="6">
        <v>2.8000000000000001E-2</v>
      </c>
      <c r="O26" s="6">
        <v>1.6799999999999999E-2</v>
      </c>
      <c r="P26" s="6">
        <v>0</v>
      </c>
      <c r="Q26" s="4" t="s">
        <v>26</v>
      </c>
      <c r="R26" s="4">
        <v>0</v>
      </c>
      <c r="S26" s="4">
        <v>0</v>
      </c>
      <c r="T26" s="4">
        <v>36</v>
      </c>
      <c r="U26" s="4">
        <v>78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225.21</v>
      </c>
      <c r="X26" s="6">
        <f>IF(ISERROR(VLOOKUP($U$26,'TAR FIN'!$A$1:$O$85,15,0)),0,VLOOKUP($U$26,'TAR FIN'!$A$1:$O$85,15,0))</f>
        <v>111.45</v>
      </c>
      <c r="Y26" s="6"/>
      <c r="Z26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6" s="6">
        <f>('TE BE'!$AB$13+'TE BF'!$AB$13+'TE CVA'!$AB$13)*(1-CUSTOS!$M$35)</f>
        <v>100.05809889521676</v>
      </c>
      <c r="AB26" s="6">
        <f t="shared" si="0"/>
        <v>0</v>
      </c>
      <c r="AC26" s="6">
        <f>(L26-M26)*(W26+X26)+($W$53+$X$53-$W$26-$X$26)*(L26)</f>
        <v>10.054632000000002</v>
      </c>
      <c r="AD26" s="6">
        <f t="shared" si="1"/>
        <v>0</v>
      </c>
      <c r="AE26" s="6">
        <f ca="1">(L26-M26)*(Z26+AA26)+($Z$53+$AA$53-$Z$26-$AA$26)*(L26)</f>
        <v>10.388694928085849</v>
      </c>
      <c r="AF26" s="4" t="s">
        <v>696</v>
      </c>
    </row>
    <row r="27" spans="1:32" ht="11.25" customHeight="1" x14ac:dyDescent="0.3">
      <c r="A27" s="4" t="s">
        <v>21</v>
      </c>
      <c r="B27" s="4" t="s">
        <v>22</v>
      </c>
      <c r="C27" s="4" t="s">
        <v>23</v>
      </c>
      <c r="D27" s="4" t="s">
        <v>24</v>
      </c>
      <c r="E27" s="4" t="s">
        <v>30</v>
      </c>
      <c r="F27" s="4" t="s">
        <v>25</v>
      </c>
      <c r="G27" s="4" t="s">
        <v>25</v>
      </c>
      <c r="H27" s="4" t="s">
        <v>25</v>
      </c>
      <c r="I27" s="5">
        <v>44531</v>
      </c>
      <c r="J27" s="6">
        <v>0</v>
      </c>
      <c r="K27" s="6">
        <v>0</v>
      </c>
      <c r="L27" s="6">
        <v>12.305999999999999</v>
      </c>
      <c r="M27" s="6">
        <v>12.305999999999999</v>
      </c>
      <c r="N27" s="6">
        <v>12.305999999999999</v>
      </c>
      <c r="O27" s="6">
        <v>12.305999999999999</v>
      </c>
      <c r="P27" s="6">
        <v>36</v>
      </c>
      <c r="Q27" s="4" t="s">
        <v>26</v>
      </c>
      <c r="R27" s="4">
        <v>0</v>
      </c>
      <c r="S27" s="4">
        <v>0</v>
      </c>
      <c r="T27" s="4">
        <v>36</v>
      </c>
      <c r="U27" s="4">
        <v>78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225.21</v>
      </c>
      <c r="X27" s="6">
        <f>IF(ISERROR(VLOOKUP($U$27,'TAR FIN'!$A$1:$O$85,15,0)),0,VLOOKUP($U$27,'TAR FIN'!$A$1:$O$85,15,0))</f>
        <v>111.45</v>
      </c>
      <c r="Y27" s="6"/>
      <c r="Z27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7" s="6">
        <f>('TE BE'!$AB$13+'TE BF'!$AB$13+'TE CVA'!$AB$13)*(1-CUSTOS!$M$35)</f>
        <v>100.05809889521676</v>
      </c>
      <c r="AB27" s="6">
        <f t="shared" si="0"/>
        <v>0</v>
      </c>
      <c r="AC27" s="6">
        <f>(L27-M27)*(W27+X27)+($W$53+$X$53-$W$27-$X$27)*(L27)</f>
        <v>2761.8355799999999</v>
      </c>
      <c r="AD27" s="6">
        <f t="shared" si="1"/>
        <v>0</v>
      </c>
      <c r="AE27" s="6">
        <f ca="1">(L27-M27)*(Z27+AA27)+($Z$53+$AA$53-$Z$27-$AA$27)*(L27)</f>
        <v>2853.6446380585812</v>
      </c>
      <c r="AF27" s="4" t="s">
        <v>696</v>
      </c>
    </row>
    <row r="28" spans="1:32" ht="11.25" customHeight="1" x14ac:dyDescent="0.3">
      <c r="A28" s="4" t="s">
        <v>21</v>
      </c>
      <c r="B28" s="4" t="s">
        <v>22</v>
      </c>
      <c r="C28" s="4" t="s">
        <v>23</v>
      </c>
      <c r="D28" s="4" t="s">
        <v>24</v>
      </c>
      <c r="E28" s="4" t="s">
        <v>30</v>
      </c>
      <c r="F28" s="4" t="s">
        <v>25</v>
      </c>
      <c r="G28" s="4" t="s">
        <v>25</v>
      </c>
      <c r="H28" s="4" t="s">
        <v>25</v>
      </c>
      <c r="I28" s="5">
        <v>44562</v>
      </c>
      <c r="J28" s="6">
        <v>0</v>
      </c>
      <c r="K28" s="6">
        <v>0</v>
      </c>
      <c r="L28" s="6">
        <v>12.425000000000001</v>
      </c>
      <c r="M28" s="6">
        <v>12.425000000000001</v>
      </c>
      <c r="N28" s="6">
        <v>12.425000000000001</v>
      </c>
      <c r="O28" s="6">
        <v>12.425000000000001</v>
      </c>
      <c r="P28" s="6">
        <v>30</v>
      </c>
      <c r="Q28" s="4" t="s">
        <v>26</v>
      </c>
      <c r="R28" s="4">
        <v>0</v>
      </c>
      <c r="S28" s="4">
        <v>0</v>
      </c>
      <c r="T28" s="4">
        <v>36</v>
      </c>
      <c r="U28" s="4">
        <v>78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225.21</v>
      </c>
      <c r="X28" s="6">
        <f>IF(ISERROR(VLOOKUP($U$28,'TAR FIN'!$A$1:$O$85,15,0)),0,VLOOKUP($U$28,'TAR FIN'!$A$1:$O$85,15,0))</f>
        <v>111.45</v>
      </c>
      <c r="Y28" s="6"/>
      <c r="Z28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8" s="6">
        <f>('TE BE'!$AB$13+'TE BF'!$AB$13+'TE CVA'!$AB$13)*(1-CUSTOS!$M$35)</f>
        <v>100.05809889521676</v>
      </c>
      <c r="AB28" s="6">
        <f t="shared" si="0"/>
        <v>0</v>
      </c>
      <c r="AC28" s="6">
        <f>(L28-M28)*(W28+X28)+($W$53+$X$53-$W$28-$X$28)*(L28)</f>
        <v>2788.5427500000001</v>
      </c>
      <c r="AD28" s="6">
        <f t="shared" si="1"/>
        <v>0</v>
      </c>
      <c r="AE28" s="6">
        <f ca="1">(L28-M28)*(Z28+AA28)+($Z$53+$AA$53-$Z$28-$AA$28)*(L28)</f>
        <v>2881.2396089613098</v>
      </c>
      <c r="AF28" s="4" t="s">
        <v>696</v>
      </c>
    </row>
    <row r="29" spans="1:32" ht="11.25" customHeight="1" x14ac:dyDescent="0.3">
      <c r="A29" s="4" t="s">
        <v>21</v>
      </c>
      <c r="B29" s="4" t="s">
        <v>22</v>
      </c>
      <c r="C29" s="4" t="s">
        <v>23</v>
      </c>
      <c r="D29" s="4" t="s">
        <v>24</v>
      </c>
      <c r="E29" s="4" t="s">
        <v>30</v>
      </c>
      <c r="F29" s="4" t="s">
        <v>25</v>
      </c>
      <c r="G29" s="4" t="s">
        <v>25</v>
      </c>
      <c r="H29" s="4" t="s">
        <v>25</v>
      </c>
      <c r="I29" s="5">
        <v>44593</v>
      </c>
      <c r="J29" s="6">
        <v>0</v>
      </c>
      <c r="K29" s="6">
        <v>0</v>
      </c>
      <c r="L29" s="6">
        <v>12.778</v>
      </c>
      <c r="M29" s="6">
        <v>12.778</v>
      </c>
      <c r="N29" s="6">
        <v>12.778</v>
      </c>
      <c r="O29" s="6">
        <v>12.778</v>
      </c>
      <c r="P29" s="6">
        <v>23</v>
      </c>
      <c r="Q29" s="4" t="s">
        <v>26</v>
      </c>
      <c r="R29" s="4">
        <v>0</v>
      </c>
      <c r="S29" s="4">
        <v>0</v>
      </c>
      <c r="T29" s="4">
        <v>36</v>
      </c>
      <c r="U29" s="4">
        <v>78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225.21</v>
      </c>
      <c r="X29" s="6">
        <f>IF(ISERROR(VLOOKUP($U$29,'TAR FIN'!$A$1:$O$85,15,0)),0,VLOOKUP($U$29,'TAR FIN'!$A$1:$O$85,15,0))</f>
        <v>111.45</v>
      </c>
      <c r="Y29" s="6"/>
      <c r="Z29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29" s="6">
        <f>('TE BE'!$AB$13+'TE BF'!$AB$13+'TE CVA'!$AB$13)*(1-CUSTOS!$M$35)</f>
        <v>100.05809889521676</v>
      </c>
      <c r="AB29" s="6">
        <f t="shared" si="0"/>
        <v>0</v>
      </c>
      <c r="AC29" s="6">
        <f>(L29-M29)*(W29+X29)+($W$53+$X$53-$W$29-$X$29)*(L29)</f>
        <v>2867.7665400000001</v>
      </c>
      <c r="AD29" s="6">
        <f t="shared" si="1"/>
        <v>0</v>
      </c>
      <c r="AE29" s="6">
        <f ca="1">(L29-M29)*(Z29+AA29)+($Z$53+$AA$53-$Z$29-$AA$29)*(L29)</f>
        <v>2963.0969596223431</v>
      </c>
      <c r="AF29" s="4" t="s">
        <v>696</v>
      </c>
    </row>
    <row r="30" spans="1:32" ht="11.25" customHeight="1" x14ac:dyDescent="0.3">
      <c r="A30" s="4" t="s">
        <v>21</v>
      </c>
      <c r="B30" s="4" t="s">
        <v>22</v>
      </c>
      <c r="C30" s="4" t="s">
        <v>23</v>
      </c>
      <c r="D30" s="4" t="s">
        <v>24</v>
      </c>
      <c r="E30" s="4" t="s">
        <v>30</v>
      </c>
      <c r="F30" s="4" t="s">
        <v>25</v>
      </c>
      <c r="G30" s="4" t="s">
        <v>25</v>
      </c>
      <c r="H30" s="4" t="s">
        <v>25</v>
      </c>
      <c r="I30" s="5">
        <v>44621</v>
      </c>
      <c r="J30" s="6">
        <v>0</v>
      </c>
      <c r="K30" s="6">
        <v>0</v>
      </c>
      <c r="L30" s="6">
        <v>13.773</v>
      </c>
      <c r="M30" s="6">
        <v>13.773</v>
      </c>
      <c r="N30" s="6">
        <v>13.773</v>
      </c>
      <c r="O30" s="6">
        <v>13.773</v>
      </c>
      <c r="P30" s="6">
        <v>23</v>
      </c>
      <c r="Q30" s="4" t="s">
        <v>26</v>
      </c>
      <c r="R30" s="4">
        <v>0</v>
      </c>
      <c r="S30" s="4">
        <v>0</v>
      </c>
      <c r="T30" s="4">
        <v>36</v>
      </c>
      <c r="U30" s="4">
        <v>78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225.21</v>
      </c>
      <c r="X30" s="6">
        <f>IF(ISERROR(VLOOKUP($U$30,'TAR FIN'!$A$1:$O$85,15,0)),0,VLOOKUP($U$30,'TAR FIN'!$A$1:$O$85,15,0))</f>
        <v>111.45</v>
      </c>
      <c r="Y30" s="6"/>
      <c r="Z30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30" s="6">
        <f>('TE BE'!$AB$13+'TE BF'!$AB$13+'TE CVA'!$AB$13)*(1-CUSTOS!$M$35)</f>
        <v>100.05809889521676</v>
      </c>
      <c r="AB30" s="6">
        <f t="shared" si="0"/>
        <v>0</v>
      </c>
      <c r="AC30" s="6">
        <f>(L30-M30)*(W30+X30)+($W$53+$X$53-$W$30-$X$30)*(L30)</f>
        <v>3091.0743900000002</v>
      </c>
      <c r="AD30" s="6">
        <f t="shared" si="1"/>
        <v>0</v>
      </c>
      <c r="AE30" s="6">
        <f ca="1">(L30-M30)*(Z30+AA30)+($Z$53+$AA$53-$Z$30-$AA$30)*(L30)</f>
        <v>3193.8280188510353</v>
      </c>
      <c r="AF30" s="4" t="s">
        <v>696</v>
      </c>
    </row>
    <row r="31" spans="1:32" ht="11.25" customHeight="1" x14ac:dyDescent="0.3">
      <c r="A31" s="4" t="s">
        <v>21</v>
      </c>
      <c r="B31" s="4" t="s">
        <v>22</v>
      </c>
      <c r="C31" s="4" t="s">
        <v>23</v>
      </c>
      <c r="D31" s="4" t="s">
        <v>24</v>
      </c>
      <c r="E31" s="4" t="s">
        <v>30</v>
      </c>
      <c r="F31" s="4" t="s">
        <v>25</v>
      </c>
      <c r="G31" s="4" t="s">
        <v>25</v>
      </c>
      <c r="H31" s="4" t="s">
        <v>25</v>
      </c>
      <c r="I31" s="5">
        <v>44652</v>
      </c>
      <c r="J31" s="6">
        <v>0</v>
      </c>
      <c r="K31" s="6">
        <v>0</v>
      </c>
      <c r="L31" s="6">
        <v>22.285</v>
      </c>
      <c r="M31" s="6">
        <v>22.285</v>
      </c>
      <c r="N31" s="6">
        <v>22.285</v>
      </c>
      <c r="O31" s="6">
        <v>22.285</v>
      </c>
      <c r="P31" s="6">
        <v>45</v>
      </c>
      <c r="Q31" s="4" t="s">
        <v>26</v>
      </c>
      <c r="R31" s="4">
        <v>0</v>
      </c>
      <c r="S31" s="4">
        <v>0</v>
      </c>
      <c r="T31" s="4">
        <v>36</v>
      </c>
      <c r="U31" s="4">
        <v>78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225.21</v>
      </c>
      <c r="X31" s="6">
        <f>IF(ISERROR(VLOOKUP($U$31,'TAR FIN'!$A$1:$O$85,15,0)),0,VLOOKUP($U$31,'TAR FIN'!$A$1:$O$85,15,0))</f>
        <v>111.45</v>
      </c>
      <c r="Y31" s="6"/>
      <c r="Z31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31" s="6">
        <f>('TE BE'!$AB$13+'TE BF'!$AB$13+'TE CVA'!$AB$13)*(1-CUSTOS!$M$35)</f>
        <v>100.05809889521676</v>
      </c>
      <c r="AB31" s="6">
        <f t="shared" si="0"/>
        <v>0</v>
      </c>
      <c r="AC31" s="6">
        <f>(L31-M31)*(W31+X31)+($W$53+$X$53-$W$31-$X$31)*(L31)</f>
        <v>5001.4225500000002</v>
      </c>
      <c r="AD31" s="6">
        <f t="shared" si="1"/>
        <v>0</v>
      </c>
      <c r="AE31" s="6">
        <f ca="1">(L31-M31)*(Z31+AA31)+($Z$53+$AA$53-$Z$31-$AA$31)*(L31)</f>
        <v>5167.6800551873466</v>
      </c>
      <c r="AF31" s="4" t="s">
        <v>696</v>
      </c>
    </row>
    <row r="32" spans="1:32" ht="11.25" customHeight="1" x14ac:dyDescent="0.3">
      <c r="A32" s="4" t="s">
        <v>27</v>
      </c>
      <c r="B32" s="4" t="s">
        <v>22</v>
      </c>
      <c r="C32" s="4" t="s">
        <v>23</v>
      </c>
      <c r="D32" s="4" t="s">
        <v>24</v>
      </c>
      <c r="E32" s="4" t="s">
        <v>30</v>
      </c>
      <c r="F32" s="4" t="s">
        <v>25</v>
      </c>
      <c r="G32" s="4" t="s">
        <v>25</v>
      </c>
      <c r="H32" s="4" t="s">
        <v>25</v>
      </c>
      <c r="I32" s="5">
        <v>44652</v>
      </c>
      <c r="J32" s="6">
        <v>0</v>
      </c>
      <c r="K32" s="6">
        <v>0</v>
      </c>
      <c r="L32" s="6">
        <v>-7.0000000000000007E-2</v>
      </c>
      <c r="M32" s="6">
        <v>-7.0000000000000007E-2</v>
      </c>
      <c r="N32" s="6">
        <v>-7.0000000000000007E-2</v>
      </c>
      <c r="O32" s="6">
        <v>-7.0000000000000007E-2</v>
      </c>
      <c r="P32" s="6">
        <v>0</v>
      </c>
      <c r="Q32" s="4" t="s">
        <v>26</v>
      </c>
      <c r="R32" s="4">
        <v>0</v>
      </c>
      <c r="S32" s="4">
        <v>0</v>
      </c>
      <c r="T32" s="4">
        <v>36</v>
      </c>
      <c r="U32" s="4">
        <v>78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225.21</v>
      </c>
      <c r="X32" s="6">
        <f>IF(ISERROR(VLOOKUP($U$32,'TAR FIN'!$A$1:$O$85,15,0)),0,VLOOKUP($U$32,'TAR FIN'!$A$1:$O$85,15,0))</f>
        <v>111.45</v>
      </c>
      <c r="Y32" s="6"/>
      <c r="Z32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32" s="6">
        <f>('TE BE'!$AB$13+'TE BF'!$AB$13+'TE CVA'!$AB$13)*(1-CUSTOS!$M$35)</f>
        <v>100.05809889521676</v>
      </c>
      <c r="AB32" s="6">
        <f t="shared" si="0"/>
        <v>0</v>
      </c>
      <c r="AC32" s="6">
        <f>(L32-M32)*(W32+X32)+($W$53+$X$53-$W$32-$X$32)*(L32)</f>
        <v>-15.710100000000002</v>
      </c>
      <c r="AD32" s="6">
        <f t="shared" si="1"/>
        <v>0</v>
      </c>
      <c r="AE32" s="6">
        <f ca="1">(L32-M32)*(Z32+AA32)+($Z$53+$AA$53-$Z$32-$AA$32)*(L32)</f>
        <v>-16.23233582513414</v>
      </c>
      <c r="AF32" s="4" t="s">
        <v>696</v>
      </c>
    </row>
    <row r="33" spans="1:32" ht="11.25" customHeight="1" x14ac:dyDescent="0.3">
      <c r="A33" s="4" t="s">
        <v>21</v>
      </c>
      <c r="B33" s="4" t="s">
        <v>22</v>
      </c>
      <c r="C33" s="4" t="s">
        <v>23</v>
      </c>
      <c r="D33" s="4" t="s">
        <v>24</v>
      </c>
      <c r="E33" s="4" t="s">
        <v>30</v>
      </c>
      <c r="F33" s="4" t="s">
        <v>25</v>
      </c>
      <c r="G33" s="4" t="s">
        <v>25</v>
      </c>
      <c r="H33" s="4" t="s">
        <v>25</v>
      </c>
      <c r="I33" s="5">
        <v>44682</v>
      </c>
      <c r="J33" s="6">
        <v>0</v>
      </c>
      <c r="K33" s="6">
        <v>0</v>
      </c>
      <c r="L33" s="6">
        <v>16.582000000000001</v>
      </c>
      <c r="M33" s="6">
        <v>16.582000000000001</v>
      </c>
      <c r="N33" s="6">
        <v>16.582000000000001</v>
      </c>
      <c r="O33" s="6">
        <v>16.582000000000001</v>
      </c>
      <c r="P33" s="6">
        <v>51</v>
      </c>
      <c r="Q33" s="4" t="s">
        <v>26</v>
      </c>
      <c r="R33" s="4">
        <v>0</v>
      </c>
      <c r="S33" s="4">
        <v>0</v>
      </c>
      <c r="T33" s="4">
        <v>36</v>
      </c>
      <c r="U33" s="4">
        <v>78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225.21</v>
      </c>
      <c r="X33" s="6">
        <f>IF(ISERROR(VLOOKUP($U$33,'TAR FIN'!$A$1:$O$85,15,0)),0,VLOOKUP($U$33,'TAR FIN'!$A$1:$O$85,15,0))</f>
        <v>111.45</v>
      </c>
      <c r="Y33" s="6"/>
      <c r="Z33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33" s="6">
        <f>('TE BE'!$AB$13+'TE BF'!$AB$13+'TE CVA'!$AB$13)*(1-CUSTOS!$M$35)</f>
        <v>100.05809889521676</v>
      </c>
      <c r="AB33" s="6">
        <f t="shared" si="0"/>
        <v>0</v>
      </c>
      <c r="AC33" s="6">
        <f>(L33-M33)*(W33+X33)+($W$53+$X$53-$W$33-$X$33)*(L33)</f>
        <v>3721.4982600000003</v>
      </c>
      <c r="AD33" s="6">
        <f t="shared" si="1"/>
        <v>0</v>
      </c>
      <c r="AE33" s="6">
        <f ca="1">(L33-M33)*(Z33+AA33)+($Z$53+$AA$53-$Z$33-$AA$33)*(L33)</f>
        <v>3845.2084664624899</v>
      </c>
      <c r="AF33" s="4" t="s">
        <v>696</v>
      </c>
    </row>
    <row r="34" spans="1:32" ht="11.25" customHeight="1" x14ac:dyDescent="0.3">
      <c r="A34" s="4" t="s">
        <v>28</v>
      </c>
      <c r="B34" s="4" t="s">
        <v>22</v>
      </c>
      <c r="C34" s="4" t="s">
        <v>23</v>
      </c>
      <c r="D34" s="4" t="s">
        <v>24</v>
      </c>
      <c r="E34" s="4" t="s">
        <v>30</v>
      </c>
      <c r="F34" s="4" t="s">
        <v>25</v>
      </c>
      <c r="G34" s="4" t="s">
        <v>25</v>
      </c>
      <c r="H34" s="4" t="s">
        <v>25</v>
      </c>
      <c r="I34" s="5">
        <v>44682</v>
      </c>
      <c r="J34" s="6">
        <v>0</v>
      </c>
      <c r="K34" s="6">
        <v>0</v>
      </c>
      <c r="L34" s="6">
        <v>7.0000000000000007E-2</v>
      </c>
      <c r="M34" s="6">
        <v>-1.4E-2</v>
      </c>
      <c r="N34" s="6">
        <v>7.0000000000000007E-2</v>
      </c>
      <c r="O34" s="6">
        <v>-1.4E-2</v>
      </c>
      <c r="P34" s="6">
        <v>0</v>
      </c>
      <c r="Q34" s="4" t="s">
        <v>26</v>
      </c>
      <c r="R34" s="4">
        <v>0</v>
      </c>
      <c r="S34" s="4">
        <v>0</v>
      </c>
      <c r="T34" s="4">
        <v>36</v>
      </c>
      <c r="U34" s="4">
        <v>78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225.21</v>
      </c>
      <c r="X34" s="6">
        <f>IF(ISERROR(VLOOKUP($U$34,'TAR FIN'!$A$1:$O$85,15,0)),0,VLOOKUP($U$34,'TAR FIN'!$A$1:$O$85,15,0))</f>
        <v>111.45</v>
      </c>
      <c r="Y34" s="6"/>
      <c r="Z34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34" s="6">
        <f>('TE BE'!$AB$13+'TE BF'!$AB$13+'TE CVA'!$AB$13)*(1-CUSTOS!$M$35)</f>
        <v>100.05809889521676</v>
      </c>
      <c r="AB34" s="6">
        <f t="shared" ref="AB34:AB65" si="4">(J34-K34)*V34</f>
        <v>0</v>
      </c>
      <c r="AC34" s="6">
        <f>(L34-M34)*(W34+X34)+($W$53+$X$53-$W$34-$X$34)*(L34)</f>
        <v>43.989540000000005</v>
      </c>
      <c r="AD34" s="6">
        <f t="shared" ref="AD34:AD65" si="5">(J34-K34)*Y34</f>
        <v>0</v>
      </c>
      <c r="AE34" s="6">
        <f ca="1">(L34-M34)*(Z34+AA34)+($Z$53+$AA$53-$Z$34-$AA$34)*(L34)</f>
        <v>45.450540310375587</v>
      </c>
      <c r="AF34" s="4" t="s">
        <v>696</v>
      </c>
    </row>
    <row r="35" spans="1:32" ht="11.25" customHeight="1" x14ac:dyDescent="0.3">
      <c r="A35" s="4" t="s">
        <v>21</v>
      </c>
      <c r="B35" s="4" t="s">
        <v>22</v>
      </c>
      <c r="C35" s="4" t="s">
        <v>23</v>
      </c>
      <c r="D35" s="4" t="s">
        <v>24</v>
      </c>
      <c r="E35" s="4" t="s">
        <v>30</v>
      </c>
      <c r="F35" s="4" t="s">
        <v>25</v>
      </c>
      <c r="G35" s="4" t="s">
        <v>25</v>
      </c>
      <c r="H35" s="4" t="s">
        <v>25</v>
      </c>
      <c r="I35" s="5">
        <v>44713</v>
      </c>
      <c r="J35" s="6">
        <v>0</v>
      </c>
      <c r="K35" s="6">
        <v>0</v>
      </c>
      <c r="L35" s="6">
        <v>16.468</v>
      </c>
      <c r="M35" s="6">
        <v>16.468</v>
      </c>
      <c r="N35" s="6">
        <v>16.468</v>
      </c>
      <c r="O35" s="6">
        <v>16.468</v>
      </c>
      <c r="P35" s="6">
        <v>55</v>
      </c>
      <c r="Q35" s="4" t="s">
        <v>26</v>
      </c>
      <c r="R35" s="4">
        <v>0</v>
      </c>
      <c r="S35" s="4">
        <v>0</v>
      </c>
      <c r="T35" s="4">
        <v>36</v>
      </c>
      <c r="U35" s="4">
        <v>78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225.21</v>
      </c>
      <c r="X35" s="6">
        <f>IF(ISERROR(VLOOKUP($U$35,'TAR FIN'!$A$1:$O$85,15,0)),0,VLOOKUP($U$35,'TAR FIN'!$A$1:$O$85,15,0))</f>
        <v>111.45</v>
      </c>
      <c r="Y35" s="6"/>
      <c r="Z35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35" s="6">
        <f>('TE BE'!$AB$13+'TE BF'!$AB$13+'TE CVA'!$AB$13)*(1-CUSTOS!$M$35)</f>
        <v>100.05809889521676</v>
      </c>
      <c r="AB35" s="6">
        <f t="shared" si="4"/>
        <v>0</v>
      </c>
      <c r="AC35" s="6">
        <f>(L35-M35)*(W35+X35)+($W$53+$X$53-$W$35-$X$35)*(L35)</f>
        <v>3695.9132400000003</v>
      </c>
      <c r="AD35" s="6">
        <f t="shared" si="5"/>
        <v>0</v>
      </c>
      <c r="AE35" s="6">
        <f ca="1">(L35-M35)*(Z35+AA35)+($Z$53+$AA$53-$Z$35-$AA$35)*(L35)</f>
        <v>3818.7729481186998</v>
      </c>
      <c r="AF35" s="4" t="s">
        <v>696</v>
      </c>
    </row>
    <row r="36" spans="1:32" ht="11.25" customHeight="1" x14ac:dyDescent="0.3">
      <c r="A36" s="4" t="s">
        <v>21</v>
      </c>
      <c r="B36" s="4" t="s">
        <v>22</v>
      </c>
      <c r="C36" s="4" t="s">
        <v>23</v>
      </c>
      <c r="D36" s="4" t="s">
        <v>24</v>
      </c>
      <c r="E36" s="4" t="s">
        <v>30</v>
      </c>
      <c r="F36" s="4" t="s">
        <v>25</v>
      </c>
      <c r="G36" s="4" t="s">
        <v>25</v>
      </c>
      <c r="H36" s="4" t="s">
        <v>25</v>
      </c>
      <c r="I36" s="5">
        <v>44743</v>
      </c>
      <c r="J36" s="6">
        <v>0</v>
      </c>
      <c r="K36" s="6">
        <v>0</v>
      </c>
      <c r="L36" s="6">
        <v>15.904</v>
      </c>
      <c r="M36" s="6">
        <v>15.904</v>
      </c>
      <c r="N36" s="6">
        <v>15.904</v>
      </c>
      <c r="O36" s="6">
        <v>15.904</v>
      </c>
      <c r="P36" s="6">
        <v>66</v>
      </c>
      <c r="Q36" s="4" t="s">
        <v>26</v>
      </c>
      <c r="R36" s="4">
        <v>0</v>
      </c>
      <c r="S36" s="4">
        <v>0</v>
      </c>
      <c r="T36" s="4">
        <v>36</v>
      </c>
      <c r="U36" s="4">
        <v>78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225.21</v>
      </c>
      <c r="X36" s="6">
        <f>IF(ISERROR(VLOOKUP($U$36,'TAR FIN'!$A$1:$O$85,15,0)),0,VLOOKUP($U$36,'TAR FIN'!$A$1:$O$85,15,0))</f>
        <v>111.45</v>
      </c>
      <c r="Y36" s="6"/>
      <c r="Z36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36" s="6">
        <f>('TE BE'!$AB$13+'TE BF'!$AB$13+'TE CVA'!$AB$13)*(1-CUSTOS!$M$35)</f>
        <v>100.05809889521676</v>
      </c>
      <c r="AB36" s="6">
        <f t="shared" si="4"/>
        <v>0</v>
      </c>
      <c r="AC36" s="6">
        <f>(L36-M36)*(W36+X36)+($W$53+$X$53-$W$36-$X$36)*(L36)</f>
        <v>3569.3347200000003</v>
      </c>
      <c r="AD36" s="6">
        <f t="shared" si="5"/>
        <v>0</v>
      </c>
      <c r="AE36" s="6">
        <f ca="1">(L36-M36)*(Z36+AA36)+($Z$53+$AA$53-$Z$36-$AA$36)*(L36)</f>
        <v>3687.9866994704762</v>
      </c>
      <c r="AF36" s="4" t="s">
        <v>696</v>
      </c>
    </row>
    <row r="37" spans="1:32" ht="11.25" customHeight="1" x14ac:dyDescent="0.3">
      <c r="A37" s="4" t="s">
        <v>21</v>
      </c>
      <c r="B37" s="4" t="s">
        <v>22</v>
      </c>
      <c r="C37" s="4" t="s">
        <v>23</v>
      </c>
      <c r="D37" s="4" t="s">
        <v>24</v>
      </c>
      <c r="E37" s="4" t="s">
        <v>30</v>
      </c>
      <c r="F37" s="4" t="s">
        <v>25</v>
      </c>
      <c r="G37" s="4" t="s">
        <v>25</v>
      </c>
      <c r="H37" s="4" t="s">
        <v>25</v>
      </c>
      <c r="I37" s="5">
        <v>44774</v>
      </c>
      <c r="J37" s="6">
        <v>0</v>
      </c>
      <c r="K37" s="6">
        <v>0</v>
      </c>
      <c r="L37" s="6">
        <v>13.456</v>
      </c>
      <c r="M37" s="6">
        <v>13.456</v>
      </c>
      <c r="N37" s="6">
        <v>13.456</v>
      </c>
      <c r="O37" s="6">
        <v>13.456</v>
      </c>
      <c r="P37" s="6">
        <v>33</v>
      </c>
      <c r="Q37" s="4" t="s">
        <v>26</v>
      </c>
      <c r="R37" s="4">
        <v>0</v>
      </c>
      <c r="S37" s="4">
        <v>0</v>
      </c>
      <c r="T37" s="4">
        <v>36</v>
      </c>
      <c r="U37" s="4">
        <v>78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225.21</v>
      </c>
      <c r="X37" s="6">
        <f>IF(ISERROR(VLOOKUP($U$37,'TAR FIN'!$A$1:$O$85,15,0)),0,VLOOKUP($U$37,'TAR FIN'!$A$1:$O$85,15,0))</f>
        <v>111.45</v>
      </c>
      <c r="Y37" s="6"/>
      <c r="Z37" s="6">
        <f ca="1">('TUSD BE'!$AM$22+'TUSD BF'!$AM$22+'TUSD CVA'!$AM$22-('TUSD BE'!$P$22+'TUSD BF'!$P$22+'TUSD CVA'!$P$22)-('TUSD BE'!$Q$22+'TUSD BF'!$Q$22+'TUSD CVA'!$Q$22)-('TUSD BE'!$R$22+'TUSD BF'!$R$22+'TUSD CVA'!$R$22))*(1-CUSTOS!$M$35)</f>
        <v>247.77766878622899</v>
      </c>
      <c r="AA37" s="6">
        <f>('TE BE'!$AB$13+'TE BF'!$AB$13+'TE CVA'!$AB$13)*(1-CUSTOS!$M$35)</f>
        <v>100.05809889521676</v>
      </c>
      <c r="AB37" s="6">
        <f t="shared" si="4"/>
        <v>0</v>
      </c>
      <c r="AC37" s="6">
        <f>(L37-M37)*(W37+X37)+($W$53+$X$53-$W$37-$X$37)*(L37)</f>
        <v>3019.9300800000001</v>
      </c>
      <c r="AD37" s="6">
        <f t="shared" si="5"/>
        <v>0</v>
      </c>
      <c r="AE37" s="6">
        <f ca="1">(L37-M37)*(Z37+AA37)+($Z$53+$AA$53-$Z$37-$AA$37)*(L37)</f>
        <v>3120.3187266143564</v>
      </c>
      <c r="AF37" s="4" t="s">
        <v>696</v>
      </c>
    </row>
    <row r="38" spans="1:32" ht="11.25" customHeight="1" x14ac:dyDescent="0.3">
      <c r="A38" s="4" t="s">
        <v>21</v>
      </c>
      <c r="B38" s="4" t="s">
        <v>22</v>
      </c>
      <c r="C38" s="4" t="s">
        <v>23</v>
      </c>
      <c r="D38" s="4" t="s">
        <v>24</v>
      </c>
      <c r="E38" s="4" t="s">
        <v>31</v>
      </c>
      <c r="F38" s="4" t="s">
        <v>25</v>
      </c>
      <c r="G38" s="4" t="s">
        <v>25</v>
      </c>
      <c r="H38" s="4" t="s">
        <v>25</v>
      </c>
      <c r="I38" s="5">
        <v>44440</v>
      </c>
      <c r="J38" s="6">
        <v>0</v>
      </c>
      <c r="K38" s="6">
        <v>0</v>
      </c>
      <c r="L38" s="6">
        <v>11.212</v>
      </c>
      <c r="M38" s="6">
        <v>11.212</v>
      </c>
      <c r="N38" s="6">
        <v>11.212</v>
      </c>
      <c r="O38" s="6">
        <v>11.212</v>
      </c>
      <c r="P38" s="6">
        <v>114</v>
      </c>
      <c r="Q38" s="4" t="s">
        <v>26</v>
      </c>
      <c r="R38" s="4">
        <v>0</v>
      </c>
      <c r="S38" s="4">
        <v>0</v>
      </c>
      <c r="T38" s="4">
        <v>38</v>
      </c>
      <c r="U38" s="4">
        <v>79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337.82</v>
      </c>
      <c r="X38" s="6">
        <f>IF(ISERROR(VLOOKUP($U$38,'TAR FIN'!$A$1:$O$85,15,0)),0,VLOOKUP($U$38,'TAR FIN'!$A$1:$O$85,15,0))</f>
        <v>167.17</v>
      </c>
      <c r="Y38" s="6"/>
      <c r="Z38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38" s="6">
        <f>('TE BE'!$AB$14+'TE BF'!$AB$14+'TE CVA'!$AB$14)*(1-CUSTOS!$M$36)</f>
        <v>150.08714834282515</v>
      </c>
      <c r="AB38" s="6">
        <f t="shared" si="4"/>
        <v>0</v>
      </c>
      <c r="AC38" s="6">
        <f>(L38-M38)*(W38+X38)+($W$53+$X$53-$W$38-$X$38)*(L38)</f>
        <v>628.99320000000057</v>
      </c>
      <c r="AD38" s="6">
        <f t="shared" si="5"/>
        <v>0</v>
      </c>
      <c r="AE38" s="6">
        <f ca="1">(L38-M38)*(Z38+AA38)+($Z$53+$AA$53-$Z$38-$AA$38)*(L38)</f>
        <v>649.98910454072836</v>
      </c>
      <c r="AF38" s="4" t="s">
        <v>696</v>
      </c>
    </row>
    <row r="39" spans="1:32" ht="11.25" customHeight="1" x14ac:dyDescent="0.3">
      <c r="A39" s="4" t="s">
        <v>21</v>
      </c>
      <c r="B39" s="4" t="s">
        <v>22</v>
      </c>
      <c r="C39" s="4" t="s">
        <v>23</v>
      </c>
      <c r="D39" s="4" t="s">
        <v>24</v>
      </c>
      <c r="E39" s="4" t="s">
        <v>31</v>
      </c>
      <c r="F39" s="4" t="s">
        <v>25</v>
      </c>
      <c r="G39" s="4" t="s">
        <v>25</v>
      </c>
      <c r="H39" s="4" t="s">
        <v>25</v>
      </c>
      <c r="I39" s="5">
        <v>44470</v>
      </c>
      <c r="J39" s="6">
        <v>0</v>
      </c>
      <c r="K39" s="6">
        <v>0</v>
      </c>
      <c r="L39" s="6">
        <v>11.162000000000001</v>
      </c>
      <c r="M39" s="6">
        <v>11.162000000000001</v>
      </c>
      <c r="N39" s="6">
        <v>11.162000000000001</v>
      </c>
      <c r="O39" s="6">
        <v>11.162000000000001</v>
      </c>
      <c r="P39" s="6">
        <v>109</v>
      </c>
      <c r="Q39" s="4" t="s">
        <v>26</v>
      </c>
      <c r="R39" s="4">
        <v>0</v>
      </c>
      <c r="S39" s="4">
        <v>0</v>
      </c>
      <c r="T39" s="4">
        <v>38</v>
      </c>
      <c r="U39" s="4">
        <v>79</v>
      </c>
      <c r="V39" s="6">
        <f>IF(ISERROR(VLOOKUP($S$39,'TAR FIN'!$A$1:$O$85,15,0)),0,VLOOKUP($S$39,'TAR FIN'!$A$1:$O$85,15,0))</f>
        <v>0</v>
      </c>
      <c r="W39" s="6">
        <f>IF(ISERROR(VLOOKUP($T$39,'TAR FIN'!$A$1:$O$85,15,0)),0,VLOOKUP($T$39,'TAR FIN'!$A$1:$O$85,15,0))</f>
        <v>337.82</v>
      </c>
      <c r="X39" s="6">
        <f>IF(ISERROR(VLOOKUP($U$39,'TAR FIN'!$A$1:$O$85,15,0)),0,VLOOKUP($U$39,'TAR FIN'!$A$1:$O$85,15,0))</f>
        <v>167.17</v>
      </c>
      <c r="Y39" s="6"/>
      <c r="Z39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39" s="6">
        <f>('TE BE'!$AB$14+'TE BF'!$AB$14+'TE CVA'!$AB$14)*(1-CUSTOS!$M$36)</f>
        <v>150.08714834282515</v>
      </c>
      <c r="AB39" s="6">
        <f t="shared" si="4"/>
        <v>0</v>
      </c>
      <c r="AC39" s="6">
        <f>(L39-M39)*(W39+X39)+($W$53+$X$53-$W$39-$X$39)*(L39)</f>
        <v>626.18820000000062</v>
      </c>
      <c r="AD39" s="6">
        <f t="shared" si="5"/>
        <v>0</v>
      </c>
      <c r="AE39" s="6">
        <f ca="1">(L39-M39)*(Z39+AA39)+($Z$53+$AA$53-$Z$39-$AA$39)*(L39)</f>
        <v>647.09047314338306</v>
      </c>
      <c r="AF39" s="4" t="s">
        <v>696</v>
      </c>
    </row>
    <row r="40" spans="1:32" ht="11.25" customHeight="1" x14ac:dyDescent="0.3">
      <c r="A40" s="4" t="s">
        <v>21</v>
      </c>
      <c r="B40" s="4" t="s">
        <v>22</v>
      </c>
      <c r="C40" s="4" t="s">
        <v>23</v>
      </c>
      <c r="D40" s="4" t="s">
        <v>24</v>
      </c>
      <c r="E40" s="4" t="s">
        <v>31</v>
      </c>
      <c r="F40" s="4" t="s">
        <v>25</v>
      </c>
      <c r="G40" s="4" t="s">
        <v>25</v>
      </c>
      <c r="H40" s="4" t="s">
        <v>25</v>
      </c>
      <c r="I40" s="5">
        <v>44501</v>
      </c>
      <c r="J40" s="6">
        <v>0</v>
      </c>
      <c r="K40" s="6">
        <v>0</v>
      </c>
      <c r="L40" s="6">
        <v>10.247999999999999</v>
      </c>
      <c r="M40" s="6">
        <v>10.247999999999999</v>
      </c>
      <c r="N40" s="6">
        <v>10.247999999999999</v>
      </c>
      <c r="O40" s="6">
        <v>10.247999999999999</v>
      </c>
      <c r="P40" s="6">
        <v>106</v>
      </c>
      <c r="Q40" s="4" t="s">
        <v>26</v>
      </c>
      <c r="R40" s="4">
        <v>0</v>
      </c>
      <c r="S40" s="4">
        <v>0</v>
      </c>
      <c r="T40" s="4">
        <v>38</v>
      </c>
      <c r="U40" s="4">
        <v>79</v>
      </c>
      <c r="V40" s="6">
        <f>IF(ISERROR(VLOOKUP($S$40,'TAR FIN'!$A$1:$O$85,15,0)),0,VLOOKUP($S$40,'TAR FIN'!$A$1:$O$85,15,0))</f>
        <v>0</v>
      </c>
      <c r="W40" s="6">
        <f>IF(ISERROR(VLOOKUP($T$40,'TAR FIN'!$A$1:$O$85,15,0)),0,VLOOKUP($T$40,'TAR FIN'!$A$1:$O$85,15,0))</f>
        <v>337.82</v>
      </c>
      <c r="X40" s="6">
        <f>IF(ISERROR(VLOOKUP($U$40,'TAR FIN'!$A$1:$O$85,15,0)),0,VLOOKUP($U$40,'TAR FIN'!$A$1:$O$85,15,0))</f>
        <v>167.17</v>
      </c>
      <c r="Y40" s="6"/>
      <c r="Z40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40" s="6">
        <f>('TE BE'!$AB$14+'TE BF'!$AB$14+'TE CVA'!$AB$14)*(1-CUSTOS!$M$36)</f>
        <v>150.08714834282515</v>
      </c>
      <c r="AB40" s="6">
        <f t="shared" si="4"/>
        <v>0</v>
      </c>
      <c r="AC40" s="6">
        <f>(L40-M40)*(W40+X40)+($W$53+$X$53-$W$40-$X$40)*(L40)</f>
        <v>574.91280000000052</v>
      </c>
      <c r="AD40" s="6">
        <f t="shared" si="5"/>
        <v>0</v>
      </c>
      <c r="AE40" s="6">
        <f ca="1">(L40-M40)*(Z40+AA40)+($Z$53+$AA$53-$Z$40-$AA$40)*(L40)</f>
        <v>594.1034911999094</v>
      </c>
      <c r="AF40" s="4" t="s">
        <v>696</v>
      </c>
    </row>
    <row r="41" spans="1:32" ht="11.25" customHeight="1" x14ac:dyDescent="0.3">
      <c r="A41" s="4" t="s">
        <v>27</v>
      </c>
      <c r="B41" s="4" t="s">
        <v>22</v>
      </c>
      <c r="C41" s="4" t="s">
        <v>23</v>
      </c>
      <c r="D41" s="4" t="s">
        <v>24</v>
      </c>
      <c r="E41" s="4" t="s">
        <v>31</v>
      </c>
      <c r="F41" s="4" t="s">
        <v>25</v>
      </c>
      <c r="G41" s="4" t="s">
        <v>25</v>
      </c>
      <c r="H41" s="4" t="s">
        <v>25</v>
      </c>
      <c r="I41" s="5">
        <v>44501</v>
      </c>
      <c r="J41" s="6">
        <v>0</v>
      </c>
      <c r="K41" s="6">
        <v>0</v>
      </c>
      <c r="L41" s="6">
        <v>4.7E-2</v>
      </c>
      <c r="M41" s="6">
        <v>4.7E-2</v>
      </c>
      <c r="N41" s="6">
        <v>4.7E-2</v>
      </c>
      <c r="O41" s="6">
        <v>4.7E-2</v>
      </c>
      <c r="P41" s="6">
        <v>0</v>
      </c>
      <c r="Q41" s="4" t="s">
        <v>26</v>
      </c>
      <c r="R41" s="4">
        <v>0</v>
      </c>
      <c r="S41" s="4">
        <v>0</v>
      </c>
      <c r="T41" s="4">
        <v>38</v>
      </c>
      <c r="U41" s="4">
        <v>79</v>
      </c>
      <c r="V41" s="6">
        <f>IF(ISERROR(VLOOKUP($S$41,'TAR FIN'!$A$1:$O$85,15,0)),0,VLOOKUP($S$41,'TAR FIN'!$A$1:$O$85,15,0))</f>
        <v>0</v>
      </c>
      <c r="W41" s="6">
        <f>IF(ISERROR(VLOOKUP($T$41,'TAR FIN'!$A$1:$O$85,15,0)),0,VLOOKUP($T$41,'TAR FIN'!$A$1:$O$85,15,0))</f>
        <v>337.82</v>
      </c>
      <c r="X41" s="6">
        <f>IF(ISERROR(VLOOKUP($U$41,'TAR FIN'!$A$1:$O$85,15,0)),0,VLOOKUP($U$41,'TAR FIN'!$A$1:$O$85,15,0))</f>
        <v>167.17</v>
      </c>
      <c r="Y41" s="6"/>
      <c r="Z41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41" s="6">
        <f>('TE BE'!$AB$14+'TE BF'!$AB$14+'TE CVA'!$AB$14)*(1-CUSTOS!$M$36)</f>
        <v>150.08714834282515</v>
      </c>
      <c r="AB41" s="6">
        <f t="shared" si="4"/>
        <v>0</v>
      </c>
      <c r="AC41" s="6">
        <f>(L41-M41)*(W41+X41)+($W$53+$X$53-$W$41-$X$41)*(L41)</f>
        <v>2.6367000000000025</v>
      </c>
      <c r="AD41" s="6">
        <f t="shared" si="5"/>
        <v>0</v>
      </c>
      <c r="AE41" s="6">
        <f ca="1">(L41-M41)*(Z41+AA41)+($Z$53+$AA$53-$Z$41-$AA$41)*(L41)</f>
        <v>2.7247135135046587</v>
      </c>
      <c r="AF41" s="4" t="s">
        <v>696</v>
      </c>
    </row>
    <row r="42" spans="1:32" ht="11.25" customHeight="1" x14ac:dyDescent="0.3">
      <c r="A42" s="4" t="s">
        <v>21</v>
      </c>
      <c r="B42" s="4" t="s">
        <v>22</v>
      </c>
      <c r="C42" s="4" t="s">
        <v>23</v>
      </c>
      <c r="D42" s="4" t="s">
        <v>24</v>
      </c>
      <c r="E42" s="4" t="s">
        <v>31</v>
      </c>
      <c r="F42" s="4" t="s">
        <v>25</v>
      </c>
      <c r="G42" s="4" t="s">
        <v>25</v>
      </c>
      <c r="H42" s="4" t="s">
        <v>25</v>
      </c>
      <c r="I42" s="5">
        <v>44531</v>
      </c>
      <c r="J42" s="6">
        <v>0</v>
      </c>
      <c r="K42" s="6">
        <v>0</v>
      </c>
      <c r="L42" s="6">
        <v>11.436999999999999</v>
      </c>
      <c r="M42" s="6">
        <v>11.436999999999999</v>
      </c>
      <c r="N42" s="6">
        <v>11.436999999999999</v>
      </c>
      <c r="O42" s="6">
        <v>11.436999999999999</v>
      </c>
      <c r="P42" s="6">
        <v>111</v>
      </c>
      <c r="Q42" s="4" t="s">
        <v>26</v>
      </c>
      <c r="R42" s="4">
        <v>0</v>
      </c>
      <c r="S42" s="4">
        <v>0</v>
      </c>
      <c r="T42" s="4">
        <v>38</v>
      </c>
      <c r="U42" s="4">
        <v>79</v>
      </c>
      <c r="V42" s="6">
        <f>IF(ISERROR(VLOOKUP($S$42,'TAR FIN'!$A$1:$O$85,15,0)),0,VLOOKUP($S$42,'TAR FIN'!$A$1:$O$85,15,0))</f>
        <v>0</v>
      </c>
      <c r="W42" s="6">
        <f>IF(ISERROR(VLOOKUP($T$42,'TAR FIN'!$A$1:$O$85,15,0)),0,VLOOKUP($T$42,'TAR FIN'!$A$1:$O$85,15,0))</f>
        <v>337.82</v>
      </c>
      <c r="X42" s="6">
        <f>IF(ISERROR(VLOOKUP($U$42,'TAR FIN'!$A$1:$O$85,15,0)),0,VLOOKUP($U$42,'TAR FIN'!$A$1:$O$85,15,0))</f>
        <v>167.17</v>
      </c>
      <c r="Y42" s="6"/>
      <c r="Z42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42" s="6">
        <f>('TE BE'!$AB$14+'TE BF'!$AB$14+'TE CVA'!$AB$14)*(1-CUSTOS!$M$36)</f>
        <v>150.08714834282515</v>
      </c>
      <c r="AB42" s="6">
        <f t="shared" si="4"/>
        <v>0</v>
      </c>
      <c r="AC42" s="6">
        <f>(L42-M42)*(W42+X42)+($W$53+$X$53-$W$42-$X$42)*(L42)</f>
        <v>641.61570000000052</v>
      </c>
      <c r="AD42" s="6">
        <f t="shared" si="5"/>
        <v>0</v>
      </c>
      <c r="AE42" s="6">
        <f ca="1">(L42-M42)*(Z42+AA42)+($Z$53+$AA$53-$Z$42-$AA$42)*(L42)</f>
        <v>663.03294582878254</v>
      </c>
      <c r="AF42" s="4" t="s">
        <v>696</v>
      </c>
    </row>
    <row r="43" spans="1:32" ht="11.25" customHeight="1" x14ac:dyDescent="0.3">
      <c r="A43" s="4" t="s">
        <v>21</v>
      </c>
      <c r="B43" s="4" t="s">
        <v>22</v>
      </c>
      <c r="C43" s="4" t="s">
        <v>23</v>
      </c>
      <c r="D43" s="4" t="s">
        <v>24</v>
      </c>
      <c r="E43" s="4" t="s">
        <v>31</v>
      </c>
      <c r="F43" s="4" t="s">
        <v>25</v>
      </c>
      <c r="G43" s="4" t="s">
        <v>25</v>
      </c>
      <c r="H43" s="4" t="s">
        <v>25</v>
      </c>
      <c r="I43" s="5">
        <v>44562</v>
      </c>
      <c r="J43" s="6">
        <v>0</v>
      </c>
      <c r="K43" s="6">
        <v>0</v>
      </c>
      <c r="L43" s="6">
        <v>13.813000000000001</v>
      </c>
      <c r="M43" s="6">
        <v>13.813000000000001</v>
      </c>
      <c r="N43" s="6">
        <v>13.813000000000001</v>
      </c>
      <c r="O43" s="6">
        <v>13.813000000000001</v>
      </c>
      <c r="P43" s="6">
        <v>92</v>
      </c>
      <c r="Q43" s="4" t="s">
        <v>26</v>
      </c>
      <c r="R43" s="4">
        <v>0</v>
      </c>
      <c r="S43" s="4">
        <v>0</v>
      </c>
      <c r="T43" s="4">
        <v>38</v>
      </c>
      <c r="U43" s="4">
        <v>79</v>
      </c>
      <c r="V43" s="6">
        <f>IF(ISERROR(VLOOKUP($S$43,'TAR FIN'!$A$1:$O$85,15,0)),0,VLOOKUP($S$43,'TAR FIN'!$A$1:$O$85,15,0))</f>
        <v>0</v>
      </c>
      <c r="W43" s="6">
        <f>IF(ISERROR(VLOOKUP($T$43,'TAR FIN'!$A$1:$O$85,15,0)),0,VLOOKUP($T$43,'TAR FIN'!$A$1:$O$85,15,0))</f>
        <v>337.82</v>
      </c>
      <c r="X43" s="6">
        <f>IF(ISERROR(VLOOKUP($U$43,'TAR FIN'!$A$1:$O$85,15,0)),0,VLOOKUP($U$43,'TAR FIN'!$A$1:$O$85,15,0))</f>
        <v>167.17</v>
      </c>
      <c r="Y43" s="6"/>
      <c r="Z43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43" s="6">
        <f>('TE BE'!$AB$14+'TE BF'!$AB$14+'TE CVA'!$AB$14)*(1-CUSTOS!$M$36)</f>
        <v>150.08714834282515</v>
      </c>
      <c r="AB43" s="6">
        <f t="shared" si="4"/>
        <v>0</v>
      </c>
      <c r="AC43" s="6">
        <f>(L43-M43)*(W43+X43)+($W$53+$X$53-$W$43-$X$43)*(L43)</f>
        <v>774.90930000000071</v>
      </c>
      <c r="AD43" s="6">
        <f t="shared" si="5"/>
        <v>0</v>
      </c>
      <c r="AE43" s="6">
        <f ca="1">(L43-M43)*(Z43+AA43)+($Z$53+$AA$53-$Z$43-$AA$43)*(L43)</f>
        <v>800.77590983063521</v>
      </c>
      <c r="AF43" s="4" t="s">
        <v>696</v>
      </c>
    </row>
    <row r="44" spans="1:32" ht="11.25" customHeight="1" x14ac:dyDescent="0.3">
      <c r="A44" s="4" t="s">
        <v>21</v>
      </c>
      <c r="B44" s="4" t="s">
        <v>22</v>
      </c>
      <c r="C44" s="4" t="s">
        <v>23</v>
      </c>
      <c r="D44" s="4" t="s">
        <v>24</v>
      </c>
      <c r="E44" s="4" t="s">
        <v>31</v>
      </c>
      <c r="F44" s="4" t="s">
        <v>25</v>
      </c>
      <c r="G44" s="4" t="s">
        <v>25</v>
      </c>
      <c r="H44" s="4" t="s">
        <v>25</v>
      </c>
      <c r="I44" s="5">
        <v>44593</v>
      </c>
      <c r="J44" s="6">
        <v>0</v>
      </c>
      <c r="K44" s="6">
        <v>0</v>
      </c>
      <c r="L44" s="6">
        <v>14.574</v>
      </c>
      <c r="M44" s="6">
        <v>14.574</v>
      </c>
      <c r="N44" s="6">
        <v>14.574</v>
      </c>
      <c r="O44" s="6">
        <v>14.574</v>
      </c>
      <c r="P44" s="6">
        <v>84</v>
      </c>
      <c r="Q44" s="4" t="s">
        <v>26</v>
      </c>
      <c r="R44" s="4">
        <v>0</v>
      </c>
      <c r="S44" s="4">
        <v>0</v>
      </c>
      <c r="T44" s="4">
        <v>38</v>
      </c>
      <c r="U44" s="4">
        <v>79</v>
      </c>
      <c r="V44" s="6">
        <f>IF(ISERROR(VLOOKUP($S$44,'TAR FIN'!$A$1:$O$85,15,0)),0,VLOOKUP($S$44,'TAR FIN'!$A$1:$O$85,15,0))</f>
        <v>0</v>
      </c>
      <c r="W44" s="6">
        <f>IF(ISERROR(VLOOKUP($T$44,'TAR FIN'!$A$1:$O$85,15,0)),0,VLOOKUP($T$44,'TAR FIN'!$A$1:$O$85,15,0))</f>
        <v>337.82</v>
      </c>
      <c r="X44" s="6">
        <f>IF(ISERROR(VLOOKUP($U$44,'TAR FIN'!$A$1:$O$85,15,0)),0,VLOOKUP($U$44,'TAR FIN'!$A$1:$O$85,15,0))</f>
        <v>167.17</v>
      </c>
      <c r="Y44" s="6"/>
      <c r="Z44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44" s="6">
        <f>('TE BE'!$AB$14+'TE BF'!$AB$14+'TE CVA'!$AB$14)*(1-CUSTOS!$M$36)</f>
        <v>150.08714834282515</v>
      </c>
      <c r="AB44" s="6">
        <f t="shared" si="4"/>
        <v>0</v>
      </c>
      <c r="AC44" s="6">
        <f>(L44-M44)*(W44+X44)+($W$53+$X$53-$W$44-$X$44)*(L44)</f>
        <v>817.60140000000069</v>
      </c>
      <c r="AD44" s="6">
        <f t="shared" si="5"/>
        <v>0</v>
      </c>
      <c r="AE44" s="6">
        <f ca="1">(L44-M44)*(Z44+AA44)+($Z$53+$AA$53-$Z$44-$AA$44)*(L44)</f>
        <v>844.89307969823187</v>
      </c>
      <c r="AF44" s="4" t="s">
        <v>696</v>
      </c>
    </row>
    <row r="45" spans="1:32" ht="11.25" customHeight="1" x14ac:dyDescent="0.3">
      <c r="A45" s="4" t="s">
        <v>21</v>
      </c>
      <c r="B45" s="4" t="s">
        <v>22</v>
      </c>
      <c r="C45" s="4" t="s">
        <v>23</v>
      </c>
      <c r="D45" s="4" t="s">
        <v>24</v>
      </c>
      <c r="E45" s="4" t="s">
        <v>31</v>
      </c>
      <c r="F45" s="4" t="s">
        <v>25</v>
      </c>
      <c r="G45" s="4" t="s">
        <v>25</v>
      </c>
      <c r="H45" s="4" t="s">
        <v>25</v>
      </c>
      <c r="I45" s="5">
        <v>44621</v>
      </c>
      <c r="J45" s="6">
        <v>0</v>
      </c>
      <c r="K45" s="6">
        <v>0</v>
      </c>
      <c r="L45" s="6">
        <v>15.63</v>
      </c>
      <c r="M45" s="6">
        <v>15.63</v>
      </c>
      <c r="N45" s="6">
        <v>15.63</v>
      </c>
      <c r="O45" s="6">
        <v>15.63</v>
      </c>
      <c r="P45" s="6">
        <v>99</v>
      </c>
      <c r="Q45" s="4" t="s">
        <v>26</v>
      </c>
      <c r="R45" s="4">
        <v>0</v>
      </c>
      <c r="S45" s="4">
        <v>0</v>
      </c>
      <c r="T45" s="4">
        <v>38</v>
      </c>
      <c r="U45" s="4">
        <v>79</v>
      </c>
      <c r="V45" s="6">
        <f>IF(ISERROR(VLOOKUP($S$45,'TAR FIN'!$A$1:$O$85,15,0)),0,VLOOKUP($S$45,'TAR FIN'!$A$1:$O$85,15,0))</f>
        <v>0</v>
      </c>
      <c r="W45" s="6">
        <f>IF(ISERROR(VLOOKUP($T$45,'TAR FIN'!$A$1:$O$85,15,0)),0,VLOOKUP($T$45,'TAR FIN'!$A$1:$O$85,15,0))</f>
        <v>337.82</v>
      </c>
      <c r="X45" s="6">
        <f>IF(ISERROR(VLOOKUP($U$45,'TAR FIN'!$A$1:$O$85,15,0)),0,VLOOKUP($U$45,'TAR FIN'!$A$1:$O$85,15,0))</f>
        <v>167.17</v>
      </c>
      <c r="Y45" s="6"/>
      <c r="Z45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45" s="6">
        <f>('TE BE'!$AB$14+'TE BF'!$AB$14+'TE CVA'!$AB$14)*(1-CUSTOS!$M$36)</f>
        <v>150.08714834282515</v>
      </c>
      <c r="AB45" s="6">
        <f t="shared" si="4"/>
        <v>0</v>
      </c>
      <c r="AC45" s="6">
        <f>(L45-M45)*(W45+X45)+($W$53+$X$53-$W$45-$X$45)*(L45)</f>
        <v>876.84300000000087</v>
      </c>
      <c r="AD45" s="6">
        <f t="shared" si="5"/>
        <v>0</v>
      </c>
      <c r="AE45" s="6">
        <f ca="1">(L45-M45)*(Z45+AA45)+($Z$53+$AA$53-$Z$45-$AA$45)*(L45)</f>
        <v>906.11217481016638</v>
      </c>
      <c r="AF45" s="4" t="s">
        <v>696</v>
      </c>
    </row>
    <row r="46" spans="1:32" ht="11.25" customHeight="1" x14ac:dyDescent="0.3">
      <c r="A46" s="4" t="s">
        <v>21</v>
      </c>
      <c r="B46" s="4" t="s">
        <v>22</v>
      </c>
      <c r="C46" s="4" t="s">
        <v>23</v>
      </c>
      <c r="D46" s="4" t="s">
        <v>24</v>
      </c>
      <c r="E46" s="4" t="s">
        <v>31</v>
      </c>
      <c r="F46" s="4" t="s">
        <v>25</v>
      </c>
      <c r="G46" s="4" t="s">
        <v>25</v>
      </c>
      <c r="H46" s="4" t="s">
        <v>25</v>
      </c>
      <c r="I46" s="5">
        <v>44652</v>
      </c>
      <c r="J46" s="6">
        <v>0</v>
      </c>
      <c r="K46" s="6">
        <v>0</v>
      </c>
      <c r="L46" s="6">
        <v>25.216000000000001</v>
      </c>
      <c r="M46" s="6">
        <v>25.216000000000001</v>
      </c>
      <c r="N46" s="6">
        <v>25.216000000000001</v>
      </c>
      <c r="O46" s="6">
        <v>25.216000000000001</v>
      </c>
      <c r="P46" s="6">
        <v>172</v>
      </c>
      <c r="Q46" s="4" t="s">
        <v>26</v>
      </c>
      <c r="R46" s="4">
        <v>0</v>
      </c>
      <c r="S46" s="4">
        <v>0</v>
      </c>
      <c r="T46" s="4">
        <v>38</v>
      </c>
      <c r="U46" s="4">
        <v>79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337.82</v>
      </c>
      <c r="X46" s="6">
        <f>IF(ISERROR(VLOOKUP($U$46,'TAR FIN'!$A$1:$O$85,15,0)),0,VLOOKUP($U$46,'TAR FIN'!$A$1:$O$85,15,0))</f>
        <v>167.17</v>
      </c>
      <c r="Y46" s="6"/>
      <c r="Z46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46" s="6">
        <f>('TE BE'!$AB$14+'TE BF'!$AB$14+'TE CVA'!$AB$14)*(1-CUSTOS!$M$36)</f>
        <v>150.08714834282515</v>
      </c>
      <c r="AB46" s="6">
        <f t="shared" si="4"/>
        <v>0</v>
      </c>
      <c r="AC46" s="6">
        <f>(L46-M46)*(W46+X46)+($W$53+$X$53-$W$46-$X$46)*(L46)</f>
        <v>1414.6176000000014</v>
      </c>
      <c r="AD46" s="6">
        <f t="shared" si="5"/>
        <v>0</v>
      </c>
      <c r="AE46" s="6">
        <f ca="1">(L46-M46)*(Z46+AA46)+($Z$53+$AA$53-$Z$46-$AA$46)*(L46)</f>
        <v>1461.837786309223</v>
      </c>
      <c r="AF46" s="4" t="s">
        <v>696</v>
      </c>
    </row>
    <row r="47" spans="1:32" ht="11.25" customHeight="1" x14ac:dyDescent="0.3">
      <c r="A47" s="4" t="s">
        <v>27</v>
      </c>
      <c r="B47" s="4" t="s">
        <v>22</v>
      </c>
      <c r="C47" s="4" t="s">
        <v>23</v>
      </c>
      <c r="D47" s="4" t="s">
        <v>24</v>
      </c>
      <c r="E47" s="4" t="s">
        <v>31</v>
      </c>
      <c r="F47" s="4" t="s">
        <v>25</v>
      </c>
      <c r="G47" s="4" t="s">
        <v>25</v>
      </c>
      <c r="H47" s="4" t="s">
        <v>25</v>
      </c>
      <c r="I47" s="5">
        <v>44652</v>
      </c>
      <c r="J47" s="6">
        <v>0</v>
      </c>
      <c r="K47" s="6">
        <v>0</v>
      </c>
      <c r="L47" s="6">
        <v>-0.05</v>
      </c>
      <c r="M47" s="6">
        <v>-0.05</v>
      </c>
      <c r="N47" s="6">
        <v>-0.05</v>
      </c>
      <c r="O47" s="6">
        <v>-0.05</v>
      </c>
      <c r="P47" s="6">
        <v>0</v>
      </c>
      <c r="Q47" s="4" t="s">
        <v>26</v>
      </c>
      <c r="R47" s="4">
        <v>0</v>
      </c>
      <c r="S47" s="4">
        <v>0</v>
      </c>
      <c r="T47" s="4">
        <v>38</v>
      </c>
      <c r="U47" s="4">
        <v>79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337.82</v>
      </c>
      <c r="X47" s="6">
        <f>IF(ISERROR(VLOOKUP($U$47,'TAR FIN'!$A$1:$O$85,15,0)),0,VLOOKUP($U$47,'TAR FIN'!$A$1:$O$85,15,0))</f>
        <v>167.17</v>
      </c>
      <c r="Y47" s="6"/>
      <c r="Z47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47" s="6">
        <f>('TE BE'!$AB$14+'TE BF'!$AB$14+'TE CVA'!$AB$14)*(1-CUSTOS!$M$36)</f>
        <v>150.08714834282515</v>
      </c>
      <c r="AB47" s="6">
        <f t="shared" si="4"/>
        <v>0</v>
      </c>
      <c r="AC47" s="6">
        <f>(L47-M47)*(W47+X47)+($W$53+$X$53-$W$47-$X$47)*(L47)</f>
        <v>-2.8050000000000028</v>
      </c>
      <c r="AD47" s="6">
        <f t="shared" si="5"/>
        <v>0</v>
      </c>
      <c r="AE47" s="6">
        <f ca="1">(L47-M47)*(Z47+AA47)+($Z$53+$AA$53-$Z$47-$AA$47)*(L47)</f>
        <v>-2.8986313973453819</v>
      </c>
      <c r="AF47" s="4" t="s">
        <v>696</v>
      </c>
    </row>
    <row r="48" spans="1:32" ht="11.25" customHeight="1" x14ac:dyDescent="0.3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31</v>
      </c>
      <c r="F48" s="4" t="s">
        <v>25</v>
      </c>
      <c r="G48" s="4" t="s">
        <v>25</v>
      </c>
      <c r="H48" s="4" t="s">
        <v>25</v>
      </c>
      <c r="I48" s="5">
        <v>44682</v>
      </c>
      <c r="J48" s="6">
        <v>0</v>
      </c>
      <c r="K48" s="6">
        <v>0</v>
      </c>
      <c r="L48" s="6">
        <v>15.872</v>
      </c>
      <c r="M48" s="6">
        <v>15.872</v>
      </c>
      <c r="N48" s="6">
        <v>15.872</v>
      </c>
      <c r="O48" s="6">
        <v>15.872</v>
      </c>
      <c r="P48" s="6">
        <v>135</v>
      </c>
      <c r="Q48" s="4" t="s">
        <v>26</v>
      </c>
      <c r="R48" s="4">
        <v>0</v>
      </c>
      <c r="S48" s="4">
        <v>0</v>
      </c>
      <c r="T48" s="4">
        <v>38</v>
      </c>
      <c r="U48" s="4">
        <v>79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337.82</v>
      </c>
      <c r="X48" s="6">
        <f>IF(ISERROR(VLOOKUP($U$48,'TAR FIN'!$A$1:$O$85,15,0)),0,VLOOKUP($U$48,'TAR FIN'!$A$1:$O$85,15,0))</f>
        <v>167.17</v>
      </c>
      <c r="Y48" s="6"/>
      <c r="Z48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48" s="6">
        <f>('TE BE'!$AB$14+'TE BF'!$AB$14+'TE CVA'!$AB$14)*(1-CUSTOS!$M$36)</f>
        <v>150.08714834282515</v>
      </c>
      <c r="AB48" s="6">
        <f t="shared" si="4"/>
        <v>0</v>
      </c>
      <c r="AC48" s="6">
        <f>(L48-M48)*(W48+X48)+($W$53+$X$53-$W$48-$X$48)*(L48)</f>
        <v>890.41920000000084</v>
      </c>
      <c r="AD48" s="6">
        <f t="shared" si="5"/>
        <v>0</v>
      </c>
      <c r="AE48" s="6">
        <f ca="1">(L48-M48)*(Z48+AA48)+($Z$53+$AA$53-$Z$48-$AA$48)*(L48)</f>
        <v>920.14155077331804</v>
      </c>
      <c r="AF48" s="4" t="s">
        <v>696</v>
      </c>
    </row>
    <row r="49" spans="1:32" ht="11.25" customHeight="1" x14ac:dyDescent="0.3">
      <c r="A49" s="4" t="s">
        <v>28</v>
      </c>
      <c r="B49" s="4" t="s">
        <v>22</v>
      </c>
      <c r="C49" s="4" t="s">
        <v>23</v>
      </c>
      <c r="D49" s="4" t="s">
        <v>24</v>
      </c>
      <c r="E49" s="4" t="s">
        <v>31</v>
      </c>
      <c r="F49" s="4" t="s">
        <v>25</v>
      </c>
      <c r="G49" s="4" t="s">
        <v>25</v>
      </c>
      <c r="H49" s="4" t="s">
        <v>25</v>
      </c>
      <c r="I49" s="5">
        <v>44682</v>
      </c>
      <c r="J49" s="6">
        <v>0</v>
      </c>
      <c r="K49" s="6">
        <v>0</v>
      </c>
      <c r="L49" s="6">
        <v>3.4000000000000002E-2</v>
      </c>
      <c r="M49" s="6">
        <v>2.3800000000000002E-2</v>
      </c>
      <c r="N49" s="6">
        <v>3.4000000000000002E-2</v>
      </c>
      <c r="O49" s="6">
        <v>2.3800000000000002E-2</v>
      </c>
      <c r="P49" s="6">
        <v>0</v>
      </c>
      <c r="Q49" s="4" t="s">
        <v>26</v>
      </c>
      <c r="R49" s="4">
        <v>0</v>
      </c>
      <c r="S49" s="4">
        <v>0</v>
      </c>
      <c r="T49" s="4">
        <v>38</v>
      </c>
      <c r="U49" s="4">
        <v>79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337.82</v>
      </c>
      <c r="X49" s="6">
        <f>IF(ISERROR(VLOOKUP($U$49,'TAR FIN'!$A$1:$O$85,15,0)),0,VLOOKUP($U$49,'TAR FIN'!$A$1:$O$85,15,0))</f>
        <v>167.17</v>
      </c>
      <c r="Y49" s="6"/>
      <c r="Z49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49" s="6">
        <f>('TE BE'!$AB$14+'TE BF'!$AB$14+'TE CVA'!$AB$14)*(1-CUSTOS!$M$36)</f>
        <v>150.08714834282515</v>
      </c>
      <c r="AB49" s="6">
        <f t="shared" si="4"/>
        <v>0</v>
      </c>
      <c r="AC49" s="6">
        <f>(L49-M49)*(W49+X49)+($W$53+$X$53-$W$49-$X$49)*(L49)</f>
        <v>7.0582980000000024</v>
      </c>
      <c r="AD49" s="6">
        <f t="shared" si="5"/>
        <v>0</v>
      </c>
      <c r="AE49" s="6">
        <f ca="1">(L49-M49)*(Z49+AA49)+($Z$53+$AA$53-$Z$49-$AA$49)*(L49)</f>
        <v>7.2929565957209803</v>
      </c>
      <c r="AF49" s="4" t="s">
        <v>696</v>
      </c>
    </row>
    <row r="50" spans="1:32" ht="11.25" customHeight="1" x14ac:dyDescent="0.3">
      <c r="A50" s="4" t="s">
        <v>21</v>
      </c>
      <c r="B50" s="4" t="s">
        <v>22</v>
      </c>
      <c r="C50" s="4" t="s">
        <v>23</v>
      </c>
      <c r="D50" s="4" t="s">
        <v>24</v>
      </c>
      <c r="E50" s="4" t="s">
        <v>31</v>
      </c>
      <c r="F50" s="4" t="s">
        <v>25</v>
      </c>
      <c r="G50" s="4" t="s">
        <v>25</v>
      </c>
      <c r="H50" s="4" t="s">
        <v>25</v>
      </c>
      <c r="I50" s="5">
        <v>44713</v>
      </c>
      <c r="J50" s="6">
        <v>0</v>
      </c>
      <c r="K50" s="6">
        <v>0</v>
      </c>
      <c r="L50" s="6">
        <v>17.007999999999999</v>
      </c>
      <c r="M50" s="6">
        <v>17.007999999999999</v>
      </c>
      <c r="N50" s="6">
        <v>17.007999999999999</v>
      </c>
      <c r="O50" s="6">
        <v>17.007999999999999</v>
      </c>
      <c r="P50" s="6">
        <v>129</v>
      </c>
      <c r="Q50" s="4" t="s">
        <v>26</v>
      </c>
      <c r="R50" s="4">
        <v>0</v>
      </c>
      <c r="S50" s="4">
        <v>0</v>
      </c>
      <c r="T50" s="4">
        <v>38</v>
      </c>
      <c r="U50" s="4">
        <v>79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337.82</v>
      </c>
      <c r="X50" s="6">
        <f>IF(ISERROR(VLOOKUP($U$50,'TAR FIN'!$A$1:$O$85,15,0)),0,VLOOKUP($U$50,'TAR FIN'!$A$1:$O$85,15,0))</f>
        <v>167.17</v>
      </c>
      <c r="Y50" s="6"/>
      <c r="Z50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50" s="6">
        <f>('TE BE'!$AB$14+'TE BF'!$AB$14+'TE CVA'!$AB$14)*(1-CUSTOS!$M$36)</f>
        <v>150.08714834282515</v>
      </c>
      <c r="AB50" s="6">
        <f t="shared" si="4"/>
        <v>0</v>
      </c>
      <c r="AC50" s="6">
        <f>(L50-M50)*(W50+X50)+($W$53+$X$53-$W$50-$X$50)*(L50)</f>
        <v>954.14880000000085</v>
      </c>
      <c r="AD50" s="6">
        <f t="shared" si="5"/>
        <v>0</v>
      </c>
      <c r="AE50" s="6">
        <f ca="1">(L50-M50)*(Z50+AA50)+($Z$53+$AA$53-$Z$50-$AA$50)*(L50)</f>
        <v>985.99845612100501</v>
      </c>
      <c r="AF50" s="4" t="s">
        <v>696</v>
      </c>
    </row>
    <row r="51" spans="1:32" ht="11.25" customHeight="1" x14ac:dyDescent="0.3">
      <c r="A51" s="4" t="s">
        <v>21</v>
      </c>
      <c r="B51" s="4" t="s">
        <v>22</v>
      </c>
      <c r="C51" s="4" t="s">
        <v>23</v>
      </c>
      <c r="D51" s="4" t="s">
        <v>24</v>
      </c>
      <c r="E51" s="4" t="s">
        <v>31</v>
      </c>
      <c r="F51" s="4" t="s">
        <v>25</v>
      </c>
      <c r="G51" s="4" t="s">
        <v>25</v>
      </c>
      <c r="H51" s="4" t="s">
        <v>25</v>
      </c>
      <c r="I51" s="5">
        <v>44743</v>
      </c>
      <c r="J51" s="6">
        <v>0</v>
      </c>
      <c r="K51" s="6">
        <v>0</v>
      </c>
      <c r="L51" s="6">
        <v>13.869</v>
      </c>
      <c r="M51" s="6">
        <v>13.869</v>
      </c>
      <c r="N51" s="6">
        <v>13.869</v>
      </c>
      <c r="O51" s="6">
        <v>13.869</v>
      </c>
      <c r="P51" s="6">
        <v>138</v>
      </c>
      <c r="Q51" s="4" t="s">
        <v>26</v>
      </c>
      <c r="R51" s="4">
        <v>0</v>
      </c>
      <c r="S51" s="4">
        <v>0</v>
      </c>
      <c r="T51" s="4">
        <v>38</v>
      </c>
      <c r="U51" s="4">
        <v>79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337.82</v>
      </c>
      <c r="X51" s="6">
        <f>IF(ISERROR(VLOOKUP($U$51,'TAR FIN'!$A$1:$O$85,15,0)),0,VLOOKUP($U$51,'TAR FIN'!$A$1:$O$85,15,0))</f>
        <v>167.17</v>
      </c>
      <c r="Y51" s="6"/>
      <c r="Z51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51" s="6">
        <f>('TE BE'!$AB$14+'TE BF'!$AB$14+'TE CVA'!$AB$14)*(1-CUSTOS!$M$36)</f>
        <v>150.08714834282515</v>
      </c>
      <c r="AB51" s="6">
        <f t="shared" si="4"/>
        <v>0</v>
      </c>
      <c r="AC51" s="6">
        <f>(L51-M51)*(W51+X51)+($W$53+$X$53-$W$51-$X$51)*(L51)</f>
        <v>778.05090000000075</v>
      </c>
      <c r="AD51" s="6">
        <f t="shared" si="5"/>
        <v>0</v>
      </c>
      <c r="AE51" s="6">
        <f ca="1">(L51-M51)*(Z51+AA51)+($Z$53+$AA$53-$Z$51-$AA$51)*(L51)</f>
        <v>804.02237699566194</v>
      </c>
      <c r="AF51" s="4" t="s">
        <v>696</v>
      </c>
    </row>
    <row r="52" spans="1:32" ht="11.25" customHeight="1" x14ac:dyDescent="0.3">
      <c r="A52" s="4" t="s">
        <v>21</v>
      </c>
      <c r="B52" s="4" t="s">
        <v>22</v>
      </c>
      <c r="C52" s="4" t="s">
        <v>23</v>
      </c>
      <c r="D52" s="4" t="s">
        <v>24</v>
      </c>
      <c r="E52" s="4" t="s">
        <v>31</v>
      </c>
      <c r="F52" s="4" t="s">
        <v>25</v>
      </c>
      <c r="G52" s="4" t="s">
        <v>25</v>
      </c>
      <c r="H52" s="4" t="s">
        <v>25</v>
      </c>
      <c r="I52" s="5">
        <v>44774</v>
      </c>
      <c r="J52" s="6">
        <v>0</v>
      </c>
      <c r="K52" s="6">
        <v>0</v>
      </c>
      <c r="L52" s="6">
        <v>14.058999999999999</v>
      </c>
      <c r="M52" s="6">
        <v>14.058999999999999</v>
      </c>
      <c r="N52" s="6">
        <v>14.058999999999999</v>
      </c>
      <c r="O52" s="6">
        <v>14.058999999999999</v>
      </c>
      <c r="P52" s="6">
        <v>108</v>
      </c>
      <c r="Q52" s="4" t="s">
        <v>26</v>
      </c>
      <c r="R52" s="4">
        <v>0</v>
      </c>
      <c r="S52" s="4">
        <v>0</v>
      </c>
      <c r="T52" s="4">
        <v>38</v>
      </c>
      <c r="U52" s="4">
        <v>79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337.82</v>
      </c>
      <c r="X52" s="6">
        <f>IF(ISERROR(VLOOKUP($U$52,'TAR FIN'!$A$1:$O$85,15,0)),0,VLOOKUP($U$52,'TAR FIN'!$A$1:$O$85,15,0))</f>
        <v>167.17</v>
      </c>
      <c r="Y52" s="6"/>
      <c r="Z52" s="6">
        <f ca="1">('TUSD BE'!$AM$23+'TUSD BF'!$AM$23+'TUSD CVA'!$AM$23-('TUSD BE'!$P$23+'TUSD BF'!$P$23+'TUSD CVA'!$P$23)-('TUSD BE'!$Q$23+'TUSD BF'!$Q$23+'TUSD CVA'!$Q$23)-('TUSD BE'!$R$23+'TUSD BF'!$R$23+'TUSD CVA'!$R$23))*(1-CUSTOS!$M$36)</f>
        <v>371.66650317934352</v>
      </c>
      <c r="AA52" s="6">
        <f>('TE BE'!$AB$14+'TE BF'!$AB$14+'TE CVA'!$AB$14)*(1-CUSTOS!$M$36)</f>
        <v>150.08714834282515</v>
      </c>
      <c r="AB52" s="6">
        <f t="shared" si="4"/>
        <v>0</v>
      </c>
      <c r="AC52" s="6">
        <f>(L52-M52)*(W52+X52)+($W$53+$X$53-$W$52-$X$52)*(L52)</f>
        <v>788.70990000000063</v>
      </c>
      <c r="AD52" s="6">
        <f t="shared" si="5"/>
        <v>0</v>
      </c>
      <c r="AE52" s="6">
        <f ca="1">(L52-M52)*(Z52+AA52)+($Z$53+$AA$53-$Z$52-$AA$52)*(L52)</f>
        <v>815.03717630557446</v>
      </c>
      <c r="AF52" s="4" t="s">
        <v>696</v>
      </c>
    </row>
    <row r="53" spans="1:32" ht="11.25" customHeight="1" x14ac:dyDescent="0.3">
      <c r="A53" s="4" t="s">
        <v>21</v>
      </c>
      <c r="B53" s="4" t="s">
        <v>22</v>
      </c>
      <c r="C53" s="4" t="s">
        <v>23</v>
      </c>
      <c r="D53" s="4" t="s">
        <v>24</v>
      </c>
      <c r="E53" s="4" t="s">
        <v>32</v>
      </c>
      <c r="F53" s="4" t="s">
        <v>25</v>
      </c>
      <c r="G53" s="4" t="s">
        <v>25</v>
      </c>
      <c r="H53" s="4" t="s">
        <v>25</v>
      </c>
      <c r="I53" s="5">
        <v>44440</v>
      </c>
      <c r="J53" s="6">
        <v>0</v>
      </c>
      <c r="K53" s="6">
        <v>0</v>
      </c>
      <c r="L53" s="6">
        <v>2.7719999999999998</v>
      </c>
      <c r="M53" s="6">
        <v>2.7719999999999998</v>
      </c>
      <c r="N53" s="6">
        <v>2.7719999999999998</v>
      </c>
      <c r="O53" s="6">
        <v>2.7719999999999998</v>
      </c>
      <c r="P53" s="6">
        <v>38</v>
      </c>
      <c r="Q53" s="4" t="s">
        <v>26</v>
      </c>
      <c r="R53" s="4">
        <v>0</v>
      </c>
      <c r="S53" s="4">
        <v>0</v>
      </c>
      <c r="T53" s="4">
        <v>40</v>
      </c>
      <c r="U53" s="4">
        <v>80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375.35</v>
      </c>
      <c r="X53" s="6">
        <f>IF(ISERROR(VLOOKUP($U$53,'TAR FIN'!$A$1:$O$85,15,0)),0,VLOOKUP($U$53,'TAR FIN'!$A$1:$O$85,15,0))</f>
        <v>185.74</v>
      </c>
      <c r="Y53" s="6"/>
      <c r="Z53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53" s="6">
        <f>('TE BE'!$AB$15+'TE BF'!$AB$15+'TE CVA'!$AB$15)*(1-CUSTOS!$M$37)</f>
        <v>166.7634981586946</v>
      </c>
      <c r="AB53" s="6">
        <f t="shared" si="4"/>
        <v>0</v>
      </c>
      <c r="AC53" s="6">
        <f>(L53-M53)*(W53+X53)+($W$53+$X$53-$W$53-$X$53)*(L53)</f>
        <v>0</v>
      </c>
      <c r="AD53" s="6">
        <f t="shared" si="5"/>
        <v>0</v>
      </c>
      <c r="AE53" s="6">
        <f ca="1">(L53-M53)*(Z53+AA53)+($Z$53+$AA$53-$Z$53-$AA$53)*(L53)</f>
        <v>7.8784978541079903E-14</v>
      </c>
      <c r="AF53" s="4" t="s">
        <v>696</v>
      </c>
    </row>
    <row r="54" spans="1:32" ht="11.25" customHeight="1" x14ac:dyDescent="0.3">
      <c r="A54" s="4" t="s">
        <v>21</v>
      </c>
      <c r="B54" s="4" t="s">
        <v>22</v>
      </c>
      <c r="C54" s="4" t="s">
        <v>23</v>
      </c>
      <c r="D54" s="4" t="s">
        <v>24</v>
      </c>
      <c r="E54" s="4" t="s">
        <v>32</v>
      </c>
      <c r="F54" s="4" t="s">
        <v>25</v>
      </c>
      <c r="G54" s="4" t="s">
        <v>25</v>
      </c>
      <c r="H54" s="4" t="s">
        <v>25</v>
      </c>
      <c r="I54" s="5">
        <v>44470</v>
      </c>
      <c r="J54" s="6">
        <v>0</v>
      </c>
      <c r="K54" s="6">
        <v>0</v>
      </c>
      <c r="L54" s="6">
        <v>2.9910000000000001</v>
      </c>
      <c r="M54" s="6">
        <v>2.9910000000000001</v>
      </c>
      <c r="N54" s="6">
        <v>2.9910000000000001</v>
      </c>
      <c r="O54" s="6">
        <v>2.9910000000000001</v>
      </c>
      <c r="P54" s="6">
        <v>40</v>
      </c>
      <c r="Q54" s="4" t="s">
        <v>26</v>
      </c>
      <c r="R54" s="4">
        <v>0</v>
      </c>
      <c r="S54" s="4">
        <v>0</v>
      </c>
      <c r="T54" s="4">
        <v>40</v>
      </c>
      <c r="U54" s="4">
        <v>80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375.35</v>
      </c>
      <c r="X54" s="6">
        <f>IF(ISERROR(VLOOKUP($U$54,'TAR FIN'!$A$1:$O$85,15,0)),0,VLOOKUP($U$54,'TAR FIN'!$A$1:$O$85,15,0))</f>
        <v>185.74</v>
      </c>
      <c r="Y54" s="6"/>
      <c r="Z54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54" s="6">
        <f>('TE BE'!$AB$15+'TE BF'!$AB$15+'TE CVA'!$AB$15)*(1-CUSTOS!$M$37)</f>
        <v>166.7634981586946</v>
      </c>
      <c r="AB54" s="6">
        <f t="shared" si="4"/>
        <v>0</v>
      </c>
      <c r="AC54" s="6">
        <f>(L54-M54)*(W54+X54)+($W$53+$X$53-$W$54-$X$54)*(L54)</f>
        <v>0</v>
      </c>
      <c r="AD54" s="6">
        <f t="shared" si="5"/>
        <v>0</v>
      </c>
      <c r="AE54" s="6">
        <f ca="1">(L54-M54)*(Z54+AA54)+($Z$53+$AA$53-$Z$54-$AA$54)*(L54)</f>
        <v>8.5009332906338389E-14</v>
      </c>
      <c r="AF54" s="4" t="s">
        <v>696</v>
      </c>
    </row>
    <row r="55" spans="1:32" ht="11.25" customHeight="1" x14ac:dyDescent="0.3">
      <c r="A55" s="4" t="s">
        <v>21</v>
      </c>
      <c r="B55" s="4" t="s">
        <v>22</v>
      </c>
      <c r="C55" s="4" t="s">
        <v>23</v>
      </c>
      <c r="D55" s="4" t="s">
        <v>24</v>
      </c>
      <c r="E55" s="4" t="s">
        <v>32</v>
      </c>
      <c r="F55" s="4" t="s">
        <v>25</v>
      </c>
      <c r="G55" s="4" t="s">
        <v>25</v>
      </c>
      <c r="H55" s="4" t="s">
        <v>25</v>
      </c>
      <c r="I55" s="5">
        <v>44501</v>
      </c>
      <c r="J55" s="6">
        <v>0</v>
      </c>
      <c r="K55" s="6">
        <v>0</v>
      </c>
      <c r="L55" s="6">
        <v>2.5720000000000001</v>
      </c>
      <c r="M55" s="6">
        <v>2.5720000000000001</v>
      </c>
      <c r="N55" s="6">
        <v>2.5720000000000001</v>
      </c>
      <c r="O55" s="6">
        <v>2.5720000000000001</v>
      </c>
      <c r="P55" s="6">
        <v>36</v>
      </c>
      <c r="Q55" s="4" t="s">
        <v>26</v>
      </c>
      <c r="R55" s="4">
        <v>0</v>
      </c>
      <c r="S55" s="4">
        <v>0</v>
      </c>
      <c r="T55" s="4">
        <v>40</v>
      </c>
      <c r="U55" s="4">
        <v>80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375.35</v>
      </c>
      <c r="X55" s="6">
        <f>IF(ISERROR(VLOOKUP($U$55,'TAR FIN'!$A$1:$O$85,15,0)),0,VLOOKUP($U$55,'TAR FIN'!$A$1:$O$85,15,0))</f>
        <v>185.74</v>
      </c>
      <c r="Y55" s="6"/>
      <c r="Z55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55" s="6">
        <f>('TE BE'!$AB$15+'TE BF'!$AB$15+'TE CVA'!$AB$15)*(1-CUSTOS!$M$37)</f>
        <v>166.7634981586946</v>
      </c>
      <c r="AB55" s="6">
        <f t="shared" si="4"/>
        <v>0</v>
      </c>
      <c r="AC55" s="6">
        <f>(L55-M55)*(W55+X55)+($W$53+$X$53-$W$55-$X$55)*(L55)</f>
        <v>0</v>
      </c>
      <c r="AD55" s="6">
        <f t="shared" si="5"/>
        <v>0</v>
      </c>
      <c r="AE55" s="6">
        <f ca="1">(L55-M55)*(Z55+AA55)+($Z$53+$AA$53-$Z$55-$AA$55)*(L55)</f>
        <v>7.3100636654999109E-14</v>
      </c>
      <c r="AF55" s="4" t="s">
        <v>696</v>
      </c>
    </row>
    <row r="56" spans="1:32" ht="11.25" customHeight="1" x14ac:dyDescent="0.3">
      <c r="A56" s="4" t="s">
        <v>27</v>
      </c>
      <c r="B56" s="4" t="s">
        <v>22</v>
      </c>
      <c r="C56" s="4" t="s">
        <v>23</v>
      </c>
      <c r="D56" s="4" t="s">
        <v>24</v>
      </c>
      <c r="E56" s="4" t="s">
        <v>32</v>
      </c>
      <c r="F56" s="4" t="s">
        <v>25</v>
      </c>
      <c r="G56" s="4" t="s">
        <v>25</v>
      </c>
      <c r="H56" s="4" t="s">
        <v>25</v>
      </c>
      <c r="I56" s="5">
        <v>44501</v>
      </c>
      <c r="J56" s="6">
        <v>0</v>
      </c>
      <c r="K56" s="6">
        <v>0</v>
      </c>
      <c r="L56" s="6">
        <v>0.01</v>
      </c>
      <c r="M56" s="6">
        <v>0.01</v>
      </c>
      <c r="N56" s="6">
        <v>0.01</v>
      </c>
      <c r="O56" s="6">
        <v>0.01</v>
      </c>
      <c r="P56" s="6">
        <v>0</v>
      </c>
      <c r="Q56" s="4" t="s">
        <v>26</v>
      </c>
      <c r="R56" s="4">
        <v>0</v>
      </c>
      <c r="S56" s="4">
        <v>0</v>
      </c>
      <c r="T56" s="4">
        <v>40</v>
      </c>
      <c r="U56" s="4">
        <v>80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375.35</v>
      </c>
      <c r="X56" s="6">
        <f>IF(ISERROR(VLOOKUP($U$56,'TAR FIN'!$A$1:$O$85,15,0)),0,VLOOKUP($U$56,'TAR FIN'!$A$1:$O$85,15,0))</f>
        <v>185.74</v>
      </c>
      <c r="Y56" s="6"/>
      <c r="Z56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56" s="6">
        <f>('TE BE'!$AB$15+'TE BF'!$AB$15+'TE CVA'!$AB$15)*(1-CUSTOS!$M$37)</f>
        <v>166.7634981586946</v>
      </c>
      <c r="AB56" s="6">
        <f t="shared" si="4"/>
        <v>0</v>
      </c>
      <c r="AC56" s="6">
        <f>(L56-M56)*(W56+X56)+($W$53+$X$53-$W$56-$X$56)*(L56)</f>
        <v>0</v>
      </c>
      <c r="AD56" s="6">
        <f t="shared" si="5"/>
        <v>0</v>
      </c>
      <c r="AE56" s="6">
        <f ca="1">(L56-M56)*(Z56+AA56)+($Z$53+$AA$53-$Z$56-$AA$56)*(L56)</f>
        <v>2.8421709430404008E-16</v>
      </c>
      <c r="AF56" s="4" t="s">
        <v>696</v>
      </c>
    </row>
    <row r="57" spans="1:32" ht="11.25" customHeight="1" x14ac:dyDescent="0.3">
      <c r="A57" s="4" t="s">
        <v>21</v>
      </c>
      <c r="B57" s="4" t="s">
        <v>22</v>
      </c>
      <c r="C57" s="4" t="s">
        <v>23</v>
      </c>
      <c r="D57" s="4" t="s">
        <v>24</v>
      </c>
      <c r="E57" s="4" t="s">
        <v>32</v>
      </c>
      <c r="F57" s="4" t="s">
        <v>25</v>
      </c>
      <c r="G57" s="4" t="s">
        <v>25</v>
      </c>
      <c r="H57" s="4" t="s">
        <v>25</v>
      </c>
      <c r="I57" s="5">
        <v>44531</v>
      </c>
      <c r="J57" s="6">
        <v>0</v>
      </c>
      <c r="K57" s="6">
        <v>0</v>
      </c>
      <c r="L57" s="6">
        <v>2.5059999999999998</v>
      </c>
      <c r="M57" s="6">
        <v>2.5059999999999998</v>
      </c>
      <c r="N57" s="6">
        <v>2.5059999999999998</v>
      </c>
      <c r="O57" s="6">
        <v>2.5059999999999998</v>
      </c>
      <c r="P57" s="6">
        <v>43</v>
      </c>
      <c r="Q57" s="4" t="s">
        <v>26</v>
      </c>
      <c r="R57" s="4">
        <v>0</v>
      </c>
      <c r="S57" s="4">
        <v>0</v>
      </c>
      <c r="T57" s="4">
        <v>40</v>
      </c>
      <c r="U57" s="4">
        <v>80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375.35</v>
      </c>
      <c r="X57" s="6">
        <f>IF(ISERROR(VLOOKUP($U$57,'TAR FIN'!$A$1:$O$85,15,0)),0,VLOOKUP($U$57,'TAR FIN'!$A$1:$O$85,15,0))</f>
        <v>185.74</v>
      </c>
      <c r="Y57" s="6"/>
      <c r="Z57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57" s="6">
        <f>('TE BE'!$AB$15+'TE BF'!$AB$15+'TE CVA'!$AB$15)*(1-CUSTOS!$M$37)</f>
        <v>166.7634981586946</v>
      </c>
      <c r="AB57" s="6">
        <f t="shared" si="4"/>
        <v>0</v>
      </c>
      <c r="AC57" s="6">
        <f>(L57-M57)*(W57+X57)+($W$53+$X$53-$W$57-$X$57)*(L57)</f>
        <v>0</v>
      </c>
      <c r="AD57" s="6">
        <f t="shared" si="5"/>
        <v>0</v>
      </c>
      <c r="AE57" s="6">
        <f ca="1">(L57-M57)*(Z57+AA57)+($Z$53+$AA$53-$Z$57-$AA$57)*(L57)</f>
        <v>7.1224803832592436E-14</v>
      </c>
      <c r="AF57" s="4" t="s">
        <v>696</v>
      </c>
    </row>
    <row r="58" spans="1:32" ht="11.25" customHeight="1" x14ac:dyDescent="0.3">
      <c r="A58" s="4" t="s">
        <v>21</v>
      </c>
      <c r="B58" s="4" t="s">
        <v>22</v>
      </c>
      <c r="C58" s="4" t="s">
        <v>23</v>
      </c>
      <c r="D58" s="4" t="s">
        <v>24</v>
      </c>
      <c r="E58" s="4" t="s">
        <v>32</v>
      </c>
      <c r="F58" s="4" t="s">
        <v>25</v>
      </c>
      <c r="G58" s="4" t="s">
        <v>25</v>
      </c>
      <c r="H58" s="4" t="s">
        <v>25</v>
      </c>
      <c r="I58" s="5">
        <v>44562</v>
      </c>
      <c r="J58" s="6">
        <v>0</v>
      </c>
      <c r="K58" s="6">
        <v>0</v>
      </c>
      <c r="L58" s="6">
        <v>5.2519999999999998</v>
      </c>
      <c r="M58" s="6">
        <v>5.2519999999999998</v>
      </c>
      <c r="N58" s="6">
        <v>5.2519999999999998</v>
      </c>
      <c r="O58" s="6">
        <v>5.2519999999999998</v>
      </c>
      <c r="P58" s="6">
        <v>67</v>
      </c>
      <c r="Q58" s="4" t="s">
        <v>26</v>
      </c>
      <c r="R58" s="4">
        <v>0</v>
      </c>
      <c r="S58" s="4">
        <v>0</v>
      </c>
      <c r="T58" s="4">
        <v>40</v>
      </c>
      <c r="U58" s="4">
        <v>80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375.35</v>
      </c>
      <c r="X58" s="6">
        <f>IF(ISERROR(VLOOKUP($U$58,'TAR FIN'!$A$1:$O$85,15,0)),0,VLOOKUP($U$58,'TAR FIN'!$A$1:$O$85,15,0))</f>
        <v>185.74</v>
      </c>
      <c r="Y58" s="6"/>
      <c r="Z58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58" s="6">
        <f>('TE BE'!$AB$15+'TE BF'!$AB$15+'TE CVA'!$AB$15)*(1-CUSTOS!$M$37)</f>
        <v>166.7634981586946</v>
      </c>
      <c r="AB58" s="6">
        <f t="shared" si="4"/>
        <v>0</v>
      </c>
      <c r="AC58" s="6">
        <f>(L58-M58)*(W58+X58)+($W$53+$X$53-$W$58-$X$58)*(L58)</f>
        <v>0</v>
      </c>
      <c r="AD58" s="6">
        <f t="shared" si="5"/>
        <v>0</v>
      </c>
      <c r="AE58" s="6">
        <f ca="1">(L58-M58)*(Z58+AA58)+($Z$53+$AA$53-$Z$58-$AA$58)*(L58)</f>
        <v>1.4927081792848184E-13</v>
      </c>
      <c r="AF58" s="4" t="s">
        <v>696</v>
      </c>
    </row>
    <row r="59" spans="1:32" ht="11.25" customHeight="1" x14ac:dyDescent="0.3">
      <c r="A59" s="4" t="s">
        <v>21</v>
      </c>
      <c r="B59" s="4" t="s">
        <v>22</v>
      </c>
      <c r="C59" s="4" t="s">
        <v>23</v>
      </c>
      <c r="D59" s="4" t="s">
        <v>24</v>
      </c>
      <c r="E59" s="4" t="s">
        <v>32</v>
      </c>
      <c r="F59" s="4" t="s">
        <v>25</v>
      </c>
      <c r="G59" s="4" t="s">
        <v>25</v>
      </c>
      <c r="H59" s="4" t="s">
        <v>25</v>
      </c>
      <c r="I59" s="5">
        <v>44593</v>
      </c>
      <c r="J59" s="6">
        <v>0</v>
      </c>
      <c r="K59" s="6">
        <v>0</v>
      </c>
      <c r="L59" s="6">
        <v>7.7409999999999997</v>
      </c>
      <c r="M59" s="6">
        <v>7.7409999999999997</v>
      </c>
      <c r="N59" s="6">
        <v>7.7409999999999997</v>
      </c>
      <c r="O59" s="6">
        <v>7.7409999999999997</v>
      </c>
      <c r="P59" s="6">
        <v>84</v>
      </c>
      <c r="Q59" s="4" t="s">
        <v>26</v>
      </c>
      <c r="R59" s="4">
        <v>0</v>
      </c>
      <c r="S59" s="4">
        <v>0</v>
      </c>
      <c r="T59" s="4">
        <v>40</v>
      </c>
      <c r="U59" s="4">
        <v>80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375.35</v>
      </c>
      <c r="X59" s="6">
        <f>IF(ISERROR(VLOOKUP($U$59,'TAR FIN'!$A$1:$O$85,15,0)),0,VLOOKUP($U$59,'TAR FIN'!$A$1:$O$85,15,0))</f>
        <v>185.74</v>
      </c>
      <c r="Y59" s="6"/>
      <c r="Z59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59" s="6">
        <f>('TE BE'!$AB$15+'TE BF'!$AB$15+'TE CVA'!$AB$15)*(1-CUSTOS!$M$37)</f>
        <v>166.7634981586946</v>
      </c>
      <c r="AB59" s="6">
        <f t="shared" si="4"/>
        <v>0</v>
      </c>
      <c r="AC59" s="6">
        <f>(L59-M59)*(W59+X59)+($W$53+$X$53-$W$59-$X$59)*(L59)</f>
        <v>0</v>
      </c>
      <c r="AD59" s="6">
        <f t="shared" si="5"/>
        <v>0</v>
      </c>
      <c r="AE59" s="6">
        <f ca="1">(L59-M59)*(Z59+AA59)+($Z$53+$AA$53-$Z$59-$AA$59)*(L59)</f>
        <v>2.2001245270075741E-13</v>
      </c>
      <c r="AF59" s="4" t="s">
        <v>696</v>
      </c>
    </row>
    <row r="60" spans="1:32" ht="11.25" customHeight="1" x14ac:dyDescent="0.3">
      <c r="A60" s="4" t="s">
        <v>21</v>
      </c>
      <c r="B60" s="4" t="s">
        <v>22</v>
      </c>
      <c r="C60" s="4" t="s">
        <v>23</v>
      </c>
      <c r="D60" s="4" t="s">
        <v>24</v>
      </c>
      <c r="E60" s="4" t="s">
        <v>32</v>
      </c>
      <c r="F60" s="4" t="s">
        <v>25</v>
      </c>
      <c r="G60" s="4" t="s">
        <v>25</v>
      </c>
      <c r="H60" s="4" t="s">
        <v>25</v>
      </c>
      <c r="I60" s="5">
        <v>44621</v>
      </c>
      <c r="J60" s="6">
        <v>0</v>
      </c>
      <c r="K60" s="6">
        <v>0</v>
      </c>
      <c r="L60" s="6">
        <v>8.2520000000000007</v>
      </c>
      <c r="M60" s="6">
        <v>8.2520000000000007</v>
      </c>
      <c r="N60" s="6">
        <v>8.2520000000000007</v>
      </c>
      <c r="O60" s="6">
        <v>8.2520000000000007</v>
      </c>
      <c r="P60" s="6">
        <v>83</v>
      </c>
      <c r="Q60" s="4" t="s">
        <v>26</v>
      </c>
      <c r="R60" s="4">
        <v>0</v>
      </c>
      <c r="S60" s="4">
        <v>0</v>
      </c>
      <c r="T60" s="4">
        <v>40</v>
      </c>
      <c r="U60" s="4">
        <v>80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375.35</v>
      </c>
      <c r="X60" s="6">
        <f>IF(ISERROR(VLOOKUP($U$60,'TAR FIN'!$A$1:$O$85,15,0)),0,VLOOKUP($U$60,'TAR FIN'!$A$1:$O$85,15,0))</f>
        <v>185.74</v>
      </c>
      <c r="Y60" s="6"/>
      <c r="Z60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60" s="6">
        <f>('TE BE'!$AB$15+'TE BF'!$AB$15+'TE CVA'!$AB$15)*(1-CUSTOS!$M$37)</f>
        <v>166.7634981586946</v>
      </c>
      <c r="AB60" s="6">
        <f t="shared" si="4"/>
        <v>0</v>
      </c>
      <c r="AC60" s="6">
        <f>(L60-M60)*(W60+X60)+($W$53+$X$53-$W$60-$X$60)*(L60)</f>
        <v>0</v>
      </c>
      <c r="AD60" s="6">
        <f t="shared" si="5"/>
        <v>0</v>
      </c>
      <c r="AE60" s="6">
        <f ca="1">(L60-M60)*(Z60+AA60)+($Z$53+$AA$53-$Z$60-$AA$60)*(L60)</f>
        <v>2.3453594621969389E-13</v>
      </c>
      <c r="AF60" s="4" t="s">
        <v>696</v>
      </c>
    </row>
    <row r="61" spans="1:32" ht="11.25" customHeight="1" x14ac:dyDescent="0.3">
      <c r="A61" s="4" t="s">
        <v>21</v>
      </c>
      <c r="B61" s="4" t="s">
        <v>22</v>
      </c>
      <c r="C61" s="4" t="s">
        <v>23</v>
      </c>
      <c r="D61" s="4" t="s">
        <v>24</v>
      </c>
      <c r="E61" s="4" t="s">
        <v>32</v>
      </c>
      <c r="F61" s="4" t="s">
        <v>25</v>
      </c>
      <c r="G61" s="4" t="s">
        <v>25</v>
      </c>
      <c r="H61" s="4" t="s">
        <v>25</v>
      </c>
      <c r="I61" s="5">
        <v>44652</v>
      </c>
      <c r="J61" s="6">
        <v>0</v>
      </c>
      <c r="K61" s="6">
        <v>0</v>
      </c>
      <c r="L61" s="6">
        <v>11.680999999999999</v>
      </c>
      <c r="M61" s="6">
        <v>11.680999999999999</v>
      </c>
      <c r="N61" s="6">
        <v>11.680999999999999</v>
      </c>
      <c r="O61" s="6">
        <v>11.680999999999999</v>
      </c>
      <c r="P61" s="6">
        <v>122</v>
      </c>
      <c r="Q61" s="4" t="s">
        <v>26</v>
      </c>
      <c r="R61" s="4">
        <v>0</v>
      </c>
      <c r="S61" s="4">
        <v>0</v>
      </c>
      <c r="T61" s="4">
        <v>40</v>
      </c>
      <c r="U61" s="4">
        <v>80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375.35</v>
      </c>
      <c r="X61" s="6">
        <f>IF(ISERROR(VLOOKUP($U$61,'TAR FIN'!$A$1:$O$85,15,0)),0,VLOOKUP($U$61,'TAR FIN'!$A$1:$O$85,15,0))</f>
        <v>185.74</v>
      </c>
      <c r="Y61" s="6"/>
      <c r="Z61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61" s="6">
        <f>('TE BE'!$AB$15+'TE BF'!$AB$15+'TE CVA'!$AB$15)*(1-CUSTOS!$M$37)</f>
        <v>166.7634981586946</v>
      </c>
      <c r="AB61" s="6">
        <f t="shared" si="4"/>
        <v>0</v>
      </c>
      <c r="AC61" s="6">
        <f>(L61-M61)*(W61+X61)+($W$53+$X$53-$W$61-$X$61)*(L61)</f>
        <v>0</v>
      </c>
      <c r="AD61" s="6">
        <f t="shared" si="5"/>
        <v>0</v>
      </c>
      <c r="AE61" s="6">
        <f ca="1">(L61-M61)*(Z61+AA61)+($Z$53+$AA$53-$Z$61-$AA$61)*(L61)</f>
        <v>3.3199398785654919E-13</v>
      </c>
      <c r="AF61" s="4" t="s">
        <v>696</v>
      </c>
    </row>
    <row r="62" spans="1:32" ht="11.25" customHeight="1" x14ac:dyDescent="0.3">
      <c r="A62" s="4" t="s">
        <v>21</v>
      </c>
      <c r="B62" s="4" t="s">
        <v>22</v>
      </c>
      <c r="C62" s="4" t="s">
        <v>23</v>
      </c>
      <c r="D62" s="4" t="s">
        <v>24</v>
      </c>
      <c r="E62" s="4" t="s">
        <v>32</v>
      </c>
      <c r="F62" s="4" t="s">
        <v>25</v>
      </c>
      <c r="G62" s="4" t="s">
        <v>25</v>
      </c>
      <c r="H62" s="4" t="s">
        <v>25</v>
      </c>
      <c r="I62" s="5">
        <v>44682</v>
      </c>
      <c r="J62" s="6">
        <v>0</v>
      </c>
      <c r="K62" s="6">
        <v>0</v>
      </c>
      <c r="L62" s="6">
        <v>7.53</v>
      </c>
      <c r="M62" s="6">
        <v>7.53</v>
      </c>
      <c r="N62" s="6">
        <v>7.53</v>
      </c>
      <c r="O62" s="6">
        <v>7.53</v>
      </c>
      <c r="P62" s="6">
        <v>72</v>
      </c>
      <c r="Q62" s="4" t="s">
        <v>26</v>
      </c>
      <c r="R62" s="4">
        <v>0</v>
      </c>
      <c r="S62" s="4">
        <v>0</v>
      </c>
      <c r="T62" s="4">
        <v>40</v>
      </c>
      <c r="U62" s="4">
        <v>80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375.35</v>
      </c>
      <c r="X62" s="6">
        <f>IF(ISERROR(VLOOKUP($U$62,'TAR FIN'!$A$1:$O$85,15,0)),0,VLOOKUP($U$62,'TAR FIN'!$A$1:$O$85,15,0))</f>
        <v>185.74</v>
      </c>
      <c r="Y62" s="6"/>
      <c r="Z62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62" s="6">
        <f>('TE BE'!$AB$15+'TE BF'!$AB$15+'TE CVA'!$AB$15)*(1-CUSTOS!$M$37)</f>
        <v>166.7634981586946</v>
      </c>
      <c r="AB62" s="6">
        <f t="shared" si="4"/>
        <v>0</v>
      </c>
      <c r="AC62" s="6">
        <f>(L62-M62)*(W62+X62)+($W$53+$X$53-$W$62-$X$62)*(L62)</f>
        <v>0</v>
      </c>
      <c r="AD62" s="6">
        <f t="shared" si="5"/>
        <v>0</v>
      </c>
      <c r="AE62" s="6">
        <f ca="1">(L62-M62)*(Z62+AA62)+($Z$53+$AA$53-$Z$62-$AA$62)*(L62)</f>
        <v>2.1401547201094218E-13</v>
      </c>
      <c r="AF62" s="4" t="s">
        <v>696</v>
      </c>
    </row>
    <row r="63" spans="1:32" ht="11.25" customHeight="1" x14ac:dyDescent="0.3">
      <c r="A63" s="4" t="s">
        <v>21</v>
      </c>
      <c r="B63" s="4" t="s">
        <v>22</v>
      </c>
      <c r="C63" s="4" t="s">
        <v>23</v>
      </c>
      <c r="D63" s="4" t="s">
        <v>24</v>
      </c>
      <c r="E63" s="4" t="s">
        <v>32</v>
      </c>
      <c r="F63" s="4" t="s">
        <v>25</v>
      </c>
      <c r="G63" s="4" t="s">
        <v>25</v>
      </c>
      <c r="H63" s="4" t="s">
        <v>25</v>
      </c>
      <c r="I63" s="5">
        <v>44713</v>
      </c>
      <c r="J63" s="6">
        <v>0</v>
      </c>
      <c r="K63" s="6">
        <v>0</v>
      </c>
      <c r="L63" s="6">
        <v>8.8190000000000008</v>
      </c>
      <c r="M63" s="6">
        <v>8.8190000000000008</v>
      </c>
      <c r="N63" s="6">
        <v>8.8190000000000008</v>
      </c>
      <c r="O63" s="6">
        <v>8.8190000000000008</v>
      </c>
      <c r="P63" s="6">
        <v>77</v>
      </c>
      <c r="Q63" s="4" t="s">
        <v>26</v>
      </c>
      <c r="R63" s="4">
        <v>0</v>
      </c>
      <c r="S63" s="4">
        <v>0</v>
      </c>
      <c r="T63" s="4">
        <v>40</v>
      </c>
      <c r="U63" s="4">
        <v>80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375.35</v>
      </c>
      <c r="X63" s="6">
        <f>IF(ISERROR(VLOOKUP($U$63,'TAR FIN'!$A$1:$O$85,15,0)),0,VLOOKUP($U$63,'TAR FIN'!$A$1:$O$85,15,0))</f>
        <v>185.74</v>
      </c>
      <c r="Y63" s="6"/>
      <c r="Z63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63" s="6">
        <f>('TE BE'!$AB$15+'TE BF'!$AB$15+'TE CVA'!$AB$15)*(1-CUSTOS!$M$37)</f>
        <v>166.7634981586946</v>
      </c>
      <c r="AB63" s="6">
        <f t="shared" si="4"/>
        <v>0</v>
      </c>
      <c r="AC63" s="6">
        <f>(L63-M63)*(W63+X63)+($W$53+$X$53-$W$63-$X$63)*(L63)</f>
        <v>0</v>
      </c>
      <c r="AD63" s="6">
        <f t="shared" si="5"/>
        <v>0</v>
      </c>
      <c r="AE63" s="6">
        <f ca="1">(L63-M63)*(Z63+AA63)+($Z$53+$AA$53-$Z$63-$AA$63)*(L63)</f>
        <v>2.5065105546673297E-13</v>
      </c>
      <c r="AF63" s="4" t="s">
        <v>696</v>
      </c>
    </row>
    <row r="64" spans="1:32" ht="11.25" customHeight="1" x14ac:dyDescent="0.3">
      <c r="A64" s="4" t="s">
        <v>21</v>
      </c>
      <c r="B64" s="4" t="s">
        <v>22</v>
      </c>
      <c r="C64" s="4" t="s">
        <v>23</v>
      </c>
      <c r="D64" s="4" t="s">
        <v>24</v>
      </c>
      <c r="E64" s="4" t="s">
        <v>32</v>
      </c>
      <c r="F64" s="4" t="s">
        <v>25</v>
      </c>
      <c r="G64" s="4" t="s">
        <v>25</v>
      </c>
      <c r="H64" s="4" t="s">
        <v>25</v>
      </c>
      <c r="I64" s="5">
        <v>44743</v>
      </c>
      <c r="J64" s="6">
        <v>0</v>
      </c>
      <c r="K64" s="6">
        <v>0</v>
      </c>
      <c r="L64" s="6">
        <v>5.0469999999999997</v>
      </c>
      <c r="M64" s="6">
        <v>5.0469999999999997</v>
      </c>
      <c r="N64" s="6">
        <v>5.0469999999999997</v>
      </c>
      <c r="O64" s="6">
        <v>5.0469999999999997</v>
      </c>
      <c r="P64" s="6">
        <v>53</v>
      </c>
      <c r="Q64" s="4" t="s">
        <v>26</v>
      </c>
      <c r="R64" s="4">
        <v>0</v>
      </c>
      <c r="S64" s="4">
        <v>0</v>
      </c>
      <c r="T64" s="4">
        <v>40</v>
      </c>
      <c r="U64" s="4">
        <v>80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375.35</v>
      </c>
      <c r="X64" s="6">
        <f>IF(ISERROR(VLOOKUP($U$64,'TAR FIN'!$A$1:$O$85,15,0)),0,VLOOKUP($U$64,'TAR FIN'!$A$1:$O$85,15,0))</f>
        <v>185.74</v>
      </c>
      <c r="Y64" s="6"/>
      <c r="Z64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64" s="6">
        <f>('TE BE'!$AB$15+'TE BF'!$AB$15+'TE CVA'!$AB$15)*(1-CUSTOS!$M$37)</f>
        <v>166.7634981586946</v>
      </c>
      <c r="AB64" s="6">
        <f t="shared" si="4"/>
        <v>0</v>
      </c>
      <c r="AC64" s="6">
        <f>(L64-M64)*(W64+X64)+($W$53+$X$53-$W$64-$X$64)*(L64)</f>
        <v>0</v>
      </c>
      <c r="AD64" s="6">
        <f t="shared" si="5"/>
        <v>0</v>
      </c>
      <c r="AE64" s="6">
        <f ca="1">(L64-M64)*(Z64+AA64)+($Z$53+$AA$53-$Z$64-$AA$64)*(L64)</f>
        <v>1.4344436749524902E-13</v>
      </c>
      <c r="AF64" s="4" t="s">
        <v>696</v>
      </c>
    </row>
    <row r="65" spans="1:32" ht="11.25" customHeight="1" x14ac:dyDescent="0.3">
      <c r="A65" s="4" t="s">
        <v>21</v>
      </c>
      <c r="B65" s="4" t="s">
        <v>22</v>
      </c>
      <c r="C65" s="4" t="s">
        <v>23</v>
      </c>
      <c r="D65" s="4" t="s">
        <v>24</v>
      </c>
      <c r="E65" s="4" t="s">
        <v>32</v>
      </c>
      <c r="F65" s="4" t="s">
        <v>25</v>
      </c>
      <c r="G65" s="4" t="s">
        <v>25</v>
      </c>
      <c r="H65" s="4" t="s">
        <v>25</v>
      </c>
      <c r="I65" s="5">
        <v>44774</v>
      </c>
      <c r="J65" s="6">
        <v>0</v>
      </c>
      <c r="K65" s="6">
        <v>0</v>
      </c>
      <c r="L65" s="6">
        <v>6.5069999999999997</v>
      </c>
      <c r="M65" s="6">
        <v>6.5069999999999997</v>
      </c>
      <c r="N65" s="6">
        <v>6.5069999999999997</v>
      </c>
      <c r="O65" s="6">
        <v>6.5069999999999997</v>
      </c>
      <c r="P65" s="6">
        <v>65</v>
      </c>
      <c r="Q65" s="4" t="s">
        <v>26</v>
      </c>
      <c r="R65" s="4">
        <v>0</v>
      </c>
      <c r="S65" s="4">
        <v>0</v>
      </c>
      <c r="T65" s="4">
        <v>40</v>
      </c>
      <c r="U65" s="4">
        <v>80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375.35</v>
      </c>
      <c r="X65" s="6">
        <f>IF(ISERROR(VLOOKUP($U$65,'TAR FIN'!$A$1:$O$85,15,0)),0,VLOOKUP($U$65,'TAR FIN'!$A$1:$O$85,15,0))</f>
        <v>185.74</v>
      </c>
      <c r="Y65" s="6"/>
      <c r="Z65" s="6">
        <f ca="1">('TUSD BE'!$AM$24+'TUSD BF'!$AM$24+'TUSD CVA'!$AM$24-('TUSD BE'!$P$24+'TUSD BF'!$P$24+'TUSD CVA'!$P$24)-('TUSD BE'!$Q$24+'TUSD BF'!$Q$24+'TUSD CVA'!$Q$24)-('TUSD BE'!$R$24+'TUSD BF'!$R$24+'TUSD CVA'!$R$24))*(1-CUSTOS!$M$37)</f>
        <v>412.96278131038167</v>
      </c>
      <c r="AA65" s="6">
        <f>('TE BE'!$AB$15+'TE BF'!$AB$15+'TE CVA'!$AB$15)*(1-CUSTOS!$M$37)</f>
        <v>166.7634981586946</v>
      </c>
      <c r="AB65" s="6">
        <f t="shared" si="4"/>
        <v>0</v>
      </c>
      <c r="AC65" s="6">
        <f>(L65-M65)*(W65+X65)+($W$53+$X$53-$W$65-$X$65)*(L65)</f>
        <v>0</v>
      </c>
      <c r="AD65" s="6">
        <f t="shared" si="5"/>
        <v>0</v>
      </c>
      <c r="AE65" s="6">
        <f ca="1">(L65-M65)*(Z65+AA65)+($Z$53+$AA$53-$Z$65-$AA$65)*(L65)</f>
        <v>1.8494006326363887E-13</v>
      </c>
      <c r="AF65" s="4" t="s">
        <v>696</v>
      </c>
    </row>
    <row r="66" spans="1:32" ht="11.25" customHeight="1" x14ac:dyDescent="0.3">
      <c r="A66" s="4" t="s">
        <v>21</v>
      </c>
      <c r="B66" s="4" t="s">
        <v>43</v>
      </c>
      <c r="C66" s="4" t="s">
        <v>23</v>
      </c>
      <c r="D66" s="4" t="s">
        <v>44</v>
      </c>
      <c r="E66" s="4" t="s">
        <v>25</v>
      </c>
      <c r="F66" s="4" t="s">
        <v>25</v>
      </c>
      <c r="G66" s="4" t="s">
        <v>25</v>
      </c>
      <c r="H66" s="4" t="s">
        <v>25</v>
      </c>
      <c r="I66" s="5">
        <v>44440</v>
      </c>
      <c r="J66" s="6">
        <v>0</v>
      </c>
      <c r="K66" s="6">
        <v>0</v>
      </c>
      <c r="L66" s="6">
        <v>1415.9390000000001</v>
      </c>
      <c r="M66" s="6">
        <v>1415.9390000000001</v>
      </c>
      <c r="N66" s="6">
        <v>1415.9390000000001</v>
      </c>
      <c r="O66" s="6">
        <v>1415.9390000000001</v>
      </c>
      <c r="P66" s="6">
        <v>5752</v>
      </c>
      <c r="Q66" s="4" t="s">
        <v>26</v>
      </c>
      <c r="R66" s="4">
        <v>0</v>
      </c>
      <c r="S66" s="4">
        <v>0</v>
      </c>
      <c r="T66" s="4">
        <v>52</v>
      </c>
      <c r="U66" s="4">
        <v>9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389.81</v>
      </c>
      <c r="X66" s="6">
        <f>IF(ISERROR(VLOOKUP($U$66,'TAR FIN'!$A$1:$O$85,15,0)),0,VLOOKUP($U$66,'TAR FIN'!$A$1:$O$85,15,0))</f>
        <v>163.44999999999999</v>
      </c>
      <c r="Y66" s="6"/>
      <c r="Z66" s="6">
        <f ca="1">('TUSD BE'!$AM$33+'TUSD BF'!$AM$33+'TUSD CVA'!$AM$33)*(1-CUSTOS!$M$38)</f>
        <v>488.10481154466686</v>
      </c>
      <c r="AA66" s="6">
        <f>('TE BE'!$AB$24+'TE BF'!$AB$24+'TE CVA'!$AB$24)*(1-CUSTOS!$M$38)</f>
        <v>156.75768826917292</v>
      </c>
      <c r="AB66" s="6">
        <f t="shared" ref="AB66:AB97" si="6">(J66-K66)*V66</f>
        <v>0</v>
      </c>
      <c r="AC66" s="6">
        <f>(L66-M66)*(W66+X66)+($W$2+$X$2-$W$66-$X$66)*(L66)</f>
        <v>106818.43816000008</v>
      </c>
      <c r="AD66" s="6">
        <f t="shared" ref="AD66:AD97" si="7">(J66-K66)*Y66</f>
        <v>0</v>
      </c>
      <c r="AE66" s="6">
        <f ca="1">(L66-M66)*(Z66+AA66)+($Z$2+$AA$2-$Z$66-$AA$66)*(L66)</f>
        <v>58282.082752589893</v>
      </c>
      <c r="AF66" s="4" t="s">
        <v>697</v>
      </c>
    </row>
    <row r="67" spans="1:32" ht="11.25" customHeight="1" x14ac:dyDescent="0.3">
      <c r="A67" s="4" t="s">
        <v>27</v>
      </c>
      <c r="B67" s="4" t="s">
        <v>43</v>
      </c>
      <c r="C67" s="4" t="s">
        <v>23</v>
      </c>
      <c r="D67" s="4" t="s">
        <v>44</v>
      </c>
      <c r="E67" s="4" t="s">
        <v>25</v>
      </c>
      <c r="F67" s="4" t="s">
        <v>25</v>
      </c>
      <c r="G67" s="4" t="s">
        <v>25</v>
      </c>
      <c r="H67" s="4" t="s">
        <v>25</v>
      </c>
      <c r="I67" s="5">
        <v>44440</v>
      </c>
      <c r="J67" s="6">
        <v>0</v>
      </c>
      <c r="K67" s="6">
        <v>0</v>
      </c>
      <c r="L67" s="6">
        <v>0.70099999999999996</v>
      </c>
      <c r="M67" s="6">
        <v>0.70099999999999996</v>
      </c>
      <c r="N67" s="6">
        <v>0.70099999999999996</v>
      </c>
      <c r="O67" s="6">
        <v>0.70099999999999996</v>
      </c>
      <c r="P67" s="6">
        <v>0</v>
      </c>
      <c r="Q67" s="4" t="s">
        <v>26</v>
      </c>
      <c r="R67" s="4">
        <v>0</v>
      </c>
      <c r="S67" s="4">
        <v>0</v>
      </c>
      <c r="T67" s="4">
        <v>52</v>
      </c>
      <c r="U67" s="4">
        <v>9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389.81</v>
      </c>
      <c r="X67" s="6">
        <f>IF(ISERROR(VLOOKUP($U$67,'TAR FIN'!$A$1:$O$85,15,0)),0,VLOOKUP($U$67,'TAR FIN'!$A$1:$O$85,15,0))</f>
        <v>163.44999999999999</v>
      </c>
      <c r="Y67" s="6"/>
      <c r="Z67" s="6">
        <f ca="1">('TUSD BE'!$AM$33+'TUSD BF'!$AM$33+'TUSD CVA'!$AM$33)*(1-CUSTOS!$M$38)</f>
        <v>488.10481154466686</v>
      </c>
      <c r="AA67" s="6">
        <f>('TE BE'!$AB$24+'TE BF'!$AB$24+'TE CVA'!$AB$24)*(1-CUSTOS!$M$38)</f>
        <v>156.75768826917292</v>
      </c>
      <c r="AB67" s="6">
        <f t="shared" si="6"/>
        <v>0</v>
      </c>
      <c r="AC67" s="6">
        <f>(L67-M67)*(W67+X67)+($W$2+$X$2-$W$67-$X$67)*(L67)</f>
        <v>52.883440000000036</v>
      </c>
      <c r="AD67" s="6">
        <f t="shared" si="7"/>
        <v>0</v>
      </c>
      <c r="AE67" s="6">
        <f ca="1">(L67-M67)*(Z67+AA67)+($Z$2+$AA$2-$Z$67-$AA$67)*(L67)</f>
        <v>28.85416674698946</v>
      </c>
      <c r="AF67" s="4" t="s">
        <v>697</v>
      </c>
    </row>
    <row r="68" spans="1:32" ht="11.25" customHeight="1" x14ac:dyDescent="0.3">
      <c r="A68" s="4" t="s">
        <v>28</v>
      </c>
      <c r="B68" s="4" t="s">
        <v>43</v>
      </c>
      <c r="C68" s="4" t="s">
        <v>23</v>
      </c>
      <c r="D68" s="4" t="s">
        <v>44</v>
      </c>
      <c r="E68" s="4" t="s">
        <v>25</v>
      </c>
      <c r="F68" s="4" t="s">
        <v>25</v>
      </c>
      <c r="G68" s="4" t="s">
        <v>25</v>
      </c>
      <c r="H68" s="4" t="s">
        <v>25</v>
      </c>
      <c r="I68" s="5">
        <v>44440</v>
      </c>
      <c r="J68" s="6">
        <v>0</v>
      </c>
      <c r="K68" s="6">
        <v>0</v>
      </c>
      <c r="L68" s="6">
        <v>16.902999999999999</v>
      </c>
      <c r="M68" s="6">
        <v>16.902999999999999</v>
      </c>
      <c r="N68" s="6">
        <v>16.902999999999999</v>
      </c>
      <c r="O68" s="6">
        <v>16.902999999999999</v>
      </c>
      <c r="P68" s="6">
        <v>85</v>
      </c>
      <c r="Q68" s="4" t="s">
        <v>26</v>
      </c>
      <c r="R68" s="4">
        <v>0</v>
      </c>
      <c r="S68" s="4">
        <v>0</v>
      </c>
      <c r="T68" s="4">
        <v>52</v>
      </c>
      <c r="U68" s="4">
        <v>9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389.81</v>
      </c>
      <c r="X68" s="6">
        <f>IF(ISERROR(VLOOKUP($U$68,'TAR FIN'!$A$1:$O$85,15,0)),0,VLOOKUP($U$68,'TAR FIN'!$A$1:$O$85,15,0))</f>
        <v>163.44999999999999</v>
      </c>
      <c r="Y68" s="6"/>
      <c r="Z68" s="6">
        <f ca="1">('TUSD BE'!$AM$33+'TUSD BF'!$AM$33+'TUSD CVA'!$AM$33)*(1-CUSTOS!$M$38)</f>
        <v>488.10481154466686</v>
      </c>
      <c r="AA68" s="6">
        <f>('TE BE'!$AB$24+'TE BF'!$AB$24+'TE CVA'!$AB$24)*(1-CUSTOS!$M$38)</f>
        <v>156.75768826917292</v>
      </c>
      <c r="AB68" s="6">
        <f t="shared" si="6"/>
        <v>0</v>
      </c>
      <c r="AC68" s="6">
        <f>(L68-M68)*(W68+X68)+($W$2+$X$2-$W$68-$X$68)*(L68)</f>
        <v>1275.1623200000008</v>
      </c>
      <c r="AD68" s="6">
        <f t="shared" si="7"/>
        <v>0</v>
      </c>
      <c r="AE68" s="6">
        <f ca="1">(L68-M68)*(Z68+AA68)+($Z$2+$AA$2-$Z$68-$AA$68)*(L68)</f>
        <v>695.75175538425515</v>
      </c>
      <c r="AF68" s="4" t="s">
        <v>697</v>
      </c>
    </row>
    <row r="69" spans="1:32" ht="11.25" customHeight="1" x14ac:dyDescent="0.3">
      <c r="A69" s="4" t="s">
        <v>28</v>
      </c>
      <c r="B69" s="4" t="s">
        <v>43</v>
      </c>
      <c r="C69" s="4" t="s">
        <v>23</v>
      </c>
      <c r="D69" s="4" t="s">
        <v>44</v>
      </c>
      <c r="E69" s="4" t="s">
        <v>25</v>
      </c>
      <c r="F69" s="4" t="s">
        <v>25</v>
      </c>
      <c r="G69" s="4" t="s">
        <v>25</v>
      </c>
      <c r="H69" s="4" t="s">
        <v>25</v>
      </c>
      <c r="I69" s="5">
        <v>44440</v>
      </c>
      <c r="J69" s="6">
        <v>0</v>
      </c>
      <c r="K69" s="6">
        <v>0</v>
      </c>
      <c r="L69" s="6">
        <v>-7.5999999999999998E-2</v>
      </c>
      <c r="M69" s="6">
        <v>-7.5999999999999998E-2</v>
      </c>
      <c r="N69" s="6">
        <v>-7.5999999999999998E-2</v>
      </c>
      <c r="O69" s="6">
        <v>-7.5999999999999998E-2</v>
      </c>
      <c r="P69" s="6">
        <v>1</v>
      </c>
      <c r="Q69" s="4" t="s">
        <v>26</v>
      </c>
      <c r="R69" s="4">
        <v>0</v>
      </c>
      <c r="S69" s="4">
        <v>0</v>
      </c>
      <c r="T69" s="4">
        <v>52</v>
      </c>
      <c r="U69" s="4">
        <v>9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389.81</v>
      </c>
      <c r="X69" s="6">
        <f>IF(ISERROR(VLOOKUP($U$69,'TAR FIN'!$A$1:$O$85,15,0)),0,VLOOKUP($U$69,'TAR FIN'!$A$1:$O$85,15,0))</f>
        <v>163.44999999999999</v>
      </c>
      <c r="Y69" s="6"/>
      <c r="Z69" s="6">
        <f ca="1">('TUSD BE'!$AM$33+'TUSD BF'!$AM$33+'TUSD CVA'!$AM$33)*(1-CUSTOS!$M$38)</f>
        <v>488.10481154466686</v>
      </c>
      <c r="AA69" s="6">
        <f>('TE BE'!$AB$24+'TE BF'!$AB$24+'TE CVA'!$AB$24)*(1-CUSTOS!$M$38)</f>
        <v>156.75768826917292</v>
      </c>
      <c r="AB69" s="6">
        <f t="shared" si="6"/>
        <v>0</v>
      </c>
      <c r="AC69" s="6">
        <f>(L69-M69)*(W69+X69)+($W$2+$X$2-$W$69-$X$69)*(L69)</f>
        <v>-5.7334400000000043</v>
      </c>
      <c r="AD69" s="6">
        <f t="shared" si="7"/>
        <v>0</v>
      </c>
      <c r="AE69" s="6">
        <f ca="1">(L69-M69)*(Z69+AA69)+($Z$2+$AA$2-$Z$69-$AA$69)*(L69)</f>
        <v>-3.1282691480330942</v>
      </c>
      <c r="AF69" s="4" t="s">
        <v>697</v>
      </c>
    </row>
    <row r="70" spans="1:32" ht="11.25" customHeight="1" x14ac:dyDescent="0.3">
      <c r="A70" s="4" t="s">
        <v>21</v>
      </c>
      <c r="B70" s="4" t="s">
        <v>43</v>
      </c>
      <c r="C70" s="4" t="s">
        <v>23</v>
      </c>
      <c r="D70" s="4" t="s">
        <v>44</v>
      </c>
      <c r="E70" s="4" t="s">
        <v>25</v>
      </c>
      <c r="F70" s="4" t="s">
        <v>25</v>
      </c>
      <c r="G70" s="4" t="s">
        <v>25</v>
      </c>
      <c r="H70" s="4" t="s">
        <v>25</v>
      </c>
      <c r="I70" s="5">
        <v>44470</v>
      </c>
      <c r="J70" s="6">
        <v>0</v>
      </c>
      <c r="K70" s="6">
        <v>0</v>
      </c>
      <c r="L70" s="6">
        <v>1479.7449999999999</v>
      </c>
      <c r="M70" s="6">
        <v>1479.7449999999999</v>
      </c>
      <c r="N70" s="6">
        <v>1479.7449999999999</v>
      </c>
      <c r="O70" s="6">
        <v>1479.7449999999999</v>
      </c>
      <c r="P70" s="6">
        <v>5740</v>
      </c>
      <c r="Q70" s="4" t="s">
        <v>26</v>
      </c>
      <c r="R70" s="4">
        <v>0</v>
      </c>
      <c r="S70" s="4">
        <v>0</v>
      </c>
      <c r="T70" s="4">
        <v>52</v>
      </c>
      <c r="U70" s="4">
        <v>9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389.81</v>
      </c>
      <c r="X70" s="6">
        <f>IF(ISERROR(VLOOKUP($U$70,'TAR FIN'!$A$1:$O$85,15,0)),0,VLOOKUP($U$70,'TAR FIN'!$A$1:$O$85,15,0))</f>
        <v>163.44999999999999</v>
      </c>
      <c r="Y70" s="6"/>
      <c r="Z70" s="6">
        <f ca="1">('TUSD BE'!$AM$33+'TUSD BF'!$AM$33+'TUSD CVA'!$AM$33)*(1-CUSTOS!$M$38)</f>
        <v>488.10481154466686</v>
      </c>
      <c r="AA70" s="6">
        <f>('TE BE'!$AB$24+'TE BF'!$AB$24+'TE CVA'!$AB$24)*(1-CUSTOS!$M$38)</f>
        <v>156.75768826917292</v>
      </c>
      <c r="AB70" s="6">
        <f t="shared" si="6"/>
        <v>0</v>
      </c>
      <c r="AC70" s="6">
        <f>(L70-M70)*(W70+X70)+($W$2+$X$2-$W$70-$X$70)*(L70)</f>
        <v>111631.96280000007</v>
      </c>
      <c r="AD70" s="6">
        <f t="shared" si="7"/>
        <v>0</v>
      </c>
      <c r="AE70" s="6">
        <f ca="1">(L70-M70)*(Z70+AA70)+($Z$2+$AA$2-$Z$70-$AA$70)*(L70)</f>
        <v>60908.4293481083</v>
      </c>
      <c r="AF70" s="4" t="s">
        <v>697</v>
      </c>
    </row>
    <row r="71" spans="1:32" ht="11.25" customHeight="1" x14ac:dyDescent="0.3">
      <c r="A71" s="4" t="s">
        <v>27</v>
      </c>
      <c r="B71" s="4" t="s">
        <v>43</v>
      </c>
      <c r="C71" s="4" t="s">
        <v>23</v>
      </c>
      <c r="D71" s="4" t="s">
        <v>44</v>
      </c>
      <c r="E71" s="4" t="s">
        <v>25</v>
      </c>
      <c r="F71" s="4" t="s">
        <v>25</v>
      </c>
      <c r="G71" s="4" t="s">
        <v>25</v>
      </c>
      <c r="H71" s="4" t="s">
        <v>25</v>
      </c>
      <c r="I71" s="5">
        <v>44470</v>
      </c>
      <c r="J71" s="6">
        <v>0</v>
      </c>
      <c r="K71" s="6">
        <v>0</v>
      </c>
      <c r="L71" s="6">
        <v>-4.7249999999999996</v>
      </c>
      <c r="M71" s="6">
        <v>-4.7249999999999996</v>
      </c>
      <c r="N71" s="6">
        <v>-4.7249999999999996</v>
      </c>
      <c r="O71" s="6">
        <v>-4.7249999999999996</v>
      </c>
      <c r="P71" s="6">
        <v>0</v>
      </c>
      <c r="Q71" s="4" t="s">
        <v>26</v>
      </c>
      <c r="R71" s="4">
        <v>0</v>
      </c>
      <c r="S71" s="4">
        <v>0</v>
      </c>
      <c r="T71" s="4">
        <v>52</v>
      </c>
      <c r="U71" s="4">
        <v>9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389.81</v>
      </c>
      <c r="X71" s="6">
        <f>IF(ISERROR(VLOOKUP($U$71,'TAR FIN'!$A$1:$O$85,15,0)),0,VLOOKUP($U$71,'TAR FIN'!$A$1:$O$85,15,0))</f>
        <v>163.44999999999999</v>
      </c>
      <c r="Y71" s="6"/>
      <c r="Z71" s="6">
        <f ca="1">('TUSD BE'!$AM$33+'TUSD BF'!$AM$33+'TUSD CVA'!$AM$33)*(1-CUSTOS!$M$38)</f>
        <v>488.10481154466686</v>
      </c>
      <c r="AA71" s="6">
        <f>('TE BE'!$AB$24+'TE BF'!$AB$24+'TE CVA'!$AB$24)*(1-CUSTOS!$M$38)</f>
        <v>156.75768826917292</v>
      </c>
      <c r="AB71" s="6">
        <f t="shared" si="6"/>
        <v>0</v>
      </c>
      <c r="AC71" s="6">
        <f>(L71-M71)*(W71+X71)+($W$2+$X$2-$W$71-$X$71)*(L71)</f>
        <v>-356.45400000000024</v>
      </c>
      <c r="AD71" s="6">
        <f t="shared" si="7"/>
        <v>0</v>
      </c>
      <c r="AE71" s="6">
        <f ca="1">(L71-M71)*(Z71+AA71)+($Z$2+$AA$2-$Z$71-$AA$71)*(L71)</f>
        <v>-194.48778584811012</v>
      </c>
      <c r="AF71" s="4" t="s">
        <v>697</v>
      </c>
    </row>
    <row r="72" spans="1:32" ht="11.25" customHeight="1" x14ac:dyDescent="0.3">
      <c r="A72" s="4" t="s">
        <v>28</v>
      </c>
      <c r="B72" s="4" t="s">
        <v>43</v>
      </c>
      <c r="C72" s="4" t="s">
        <v>23</v>
      </c>
      <c r="D72" s="4" t="s">
        <v>44</v>
      </c>
      <c r="E72" s="4" t="s">
        <v>25</v>
      </c>
      <c r="F72" s="4" t="s">
        <v>25</v>
      </c>
      <c r="G72" s="4" t="s">
        <v>25</v>
      </c>
      <c r="H72" s="4" t="s">
        <v>25</v>
      </c>
      <c r="I72" s="5">
        <v>44470</v>
      </c>
      <c r="J72" s="6">
        <v>0</v>
      </c>
      <c r="K72" s="6">
        <v>0</v>
      </c>
      <c r="L72" s="6">
        <v>20.302</v>
      </c>
      <c r="M72" s="6">
        <v>20.302</v>
      </c>
      <c r="N72" s="6">
        <v>20.302</v>
      </c>
      <c r="O72" s="6">
        <v>20.302</v>
      </c>
      <c r="P72" s="6">
        <v>89</v>
      </c>
      <c r="Q72" s="4" t="s">
        <v>26</v>
      </c>
      <c r="R72" s="4">
        <v>0</v>
      </c>
      <c r="S72" s="4">
        <v>0</v>
      </c>
      <c r="T72" s="4">
        <v>52</v>
      </c>
      <c r="U72" s="4">
        <v>9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389.81</v>
      </c>
      <c r="X72" s="6">
        <f>IF(ISERROR(VLOOKUP($U$72,'TAR FIN'!$A$1:$O$85,15,0)),0,VLOOKUP($U$72,'TAR FIN'!$A$1:$O$85,15,0))</f>
        <v>163.44999999999999</v>
      </c>
      <c r="Y72" s="6"/>
      <c r="Z72" s="6">
        <f ca="1">('TUSD BE'!$AM$33+'TUSD BF'!$AM$33+'TUSD CVA'!$AM$33)*(1-CUSTOS!$M$38)</f>
        <v>488.10481154466686</v>
      </c>
      <c r="AA72" s="6">
        <f>('TE BE'!$AB$24+'TE BF'!$AB$24+'TE CVA'!$AB$24)*(1-CUSTOS!$M$38)</f>
        <v>156.75768826917292</v>
      </c>
      <c r="AB72" s="6">
        <f t="shared" si="6"/>
        <v>0</v>
      </c>
      <c r="AC72" s="6">
        <f>(L72-M72)*(W72+X72)+($W$2+$X$2-$W$72-$X$72)*(L72)</f>
        <v>1531.5828800000011</v>
      </c>
      <c r="AD72" s="6">
        <f t="shared" si="7"/>
        <v>0</v>
      </c>
      <c r="AE72" s="6">
        <f ca="1">(L72-M72)*(Z72+AA72)+($Z$2+$AA$2-$Z$72-$AA$72)*(L72)</f>
        <v>835.6594768864195</v>
      </c>
      <c r="AF72" s="4" t="s">
        <v>697</v>
      </c>
    </row>
    <row r="73" spans="1:32" ht="11.25" customHeight="1" x14ac:dyDescent="0.3">
      <c r="A73" s="4" t="s">
        <v>21</v>
      </c>
      <c r="B73" s="4" t="s">
        <v>43</v>
      </c>
      <c r="C73" s="4" t="s">
        <v>23</v>
      </c>
      <c r="D73" s="4" t="s">
        <v>44</v>
      </c>
      <c r="E73" s="4" t="s">
        <v>25</v>
      </c>
      <c r="F73" s="4" t="s">
        <v>25</v>
      </c>
      <c r="G73" s="4" t="s">
        <v>25</v>
      </c>
      <c r="H73" s="4" t="s">
        <v>25</v>
      </c>
      <c r="I73" s="5">
        <v>44501</v>
      </c>
      <c r="J73" s="6">
        <v>0</v>
      </c>
      <c r="K73" s="6">
        <v>0</v>
      </c>
      <c r="L73" s="6">
        <v>1591.5719999999999</v>
      </c>
      <c r="M73" s="6">
        <v>1591.5719999999999</v>
      </c>
      <c r="N73" s="6">
        <v>1591.5719999999999</v>
      </c>
      <c r="O73" s="6">
        <v>1591.5719999999999</v>
      </c>
      <c r="P73" s="6">
        <v>5726</v>
      </c>
      <c r="Q73" s="4" t="s">
        <v>26</v>
      </c>
      <c r="R73" s="4">
        <v>0</v>
      </c>
      <c r="S73" s="4">
        <v>0</v>
      </c>
      <c r="T73" s="4">
        <v>52</v>
      </c>
      <c r="U73" s="4">
        <v>9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389.81</v>
      </c>
      <c r="X73" s="6">
        <f>IF(ISERROR(VLOOKUP($U$73,'TAR FIN'!$A$1:$O$85,15,0)),0,VLOOKUP($U$73,'TAR FIN'!$A$1:$O$85,15,0))</f>
        <v>163.44999999999999</v>
      </c>
      <c r="Y73" s="6"/>
      <c r="Z73" s="6">
        <f ca="1">('TUSD BE'!$AM$33+'TUSD BF'!$AM$33+'TUSD CVA'!$AM$33)*(1-CUSTOS!$M$38)</f>
        <v>488.10481154466686</v>
      </c>
      <c r="AA73" s="6">
        <f>('TE BE'!$AB$24+'TE BF'!$AB$24+'TE CVA'!$AB$24)*(1-CUSTOS!$M$38)</f>
        <v>156.75768826917292</v>
      </c>
      <c r="AB73" s="6">
        <f t="shared" si="6"/>
        <v>0</v>
      </c>
      <c r="AC73" s="6">
        <f>(L73-M73)*(W73+X73)+($W$2+$X$2-$W$73-$X$73)*(L73)</f>
        <v>120068.19168000008</v>
      </c>
      <c r="AD73" s="6">
        <f t="shared" si="7"/>
        <v>0</v>
      </c>
      <c r="AE73" s="6">
        <f ca="1">(L73-M73)*(Z73+AA73)+($Z$2+$AA$2-$Z$73-$AA$73)*(L73)</f>
        <v>65511.389269385894</v>
      </c>
      <c r="AF73" s="4" t="s">
        <v>697</v>
      </c>
    </row>
    <row r="74" spans="1:32" ht="11.25" customHeight="1" x14ac:dyDescent="0.3">
      <c r="A74" s="4" t="s">
        <v>27</v>
      </c>
      <c r="B74" s="4" t="s">
        <v>43</v>
      </c>
      <c r="C74" s="4" t="s">
        <v>23</v>
      </c>
      <c r="D74" s="4" t="s">
        <v>44</v>
      </c>
      <c r="E74" s="4" t="s">
        <v>25</v>
      </c>
      <c r="F74" s="4" t="s">
        <v>25</v>
      </c>
      <c r="G74" s="4" t="s">
        <v>25</v>
      </c>
      <c r="H74" s="4" t="s">
        <v>25</v>
      </c>
      <c r="I74" s="5">
        <v>44501</v>
      </c>
      <c r="J74" s="6">
        <v>0</v>
      </c>
      <c r="K74" s="6">
        <v>0</v>
      </c>
      <c r="L74" s="6">
        <v>-4.9260000000000002</v>
      </c>
      <c r="M74" s="6">
        <v>-4.9260000000000002</v>
      </c>
      <c r="N74" s="6">
        <v>-4.9260000000000002</v>
      </c>
      <c r="O74" s="6">
        <v>-4.9260000000000002</v>
      </c>
      <c r="P74" s="6">
        <v>0</v>
      </c>
      <c r="Q74" s="4" t="s">
        <v>26</v>
      </c>
      <c r="R74" s="4">
        <v>0</v>
      </c>
      <c r="S74" s="4">
        <v>0</v>
      </c>
      <c r="T74" s="4">
        <v>52</v>
      </c>
      <c r="U74" s="4">
        <v>9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389.81</v>
      </c>
      <c r="X74" s="6">
        <f>IF(ISERROR(VLOOKUP($U$74,'TAR FIN'!$A$1:$O$85,15,0)),0,VLOOKUP($U$74,'TAR FIN'!$A$1:$O$85,15,0))</f>
        <v>163.44999999999999</v>
      </c>
      <c r="Y74" s="6"/>
      <c r="Z74" s="6">
        <f ca="1">('TUSD BE'!$AM$33+'TUSD BF'!$AM$33+'TUSD CVA'!$AM$33)*(1-CUSTOS!$M$38)</f>
        <v>488.10481154466686</v>
      </c>
      <c r="AA74" s="6">
        <f>('TE BE'!$AB$24+'TE BF'!$AB$24+'TE CVA'!$AB$24)*(1-CUSTOS!$M$38)</f>
        <v>156.75768826917292</v>
      </c>
      <c r="AB74" s="6">
        <f t="shared" si="6"/>
        <v>0</v>
      </c>
      <c r="AC74" s="6">
        <f>(L74-M74)*(W74+X74)+($W$2+$X$2-$W$74-$X$74)*(L74)</f>
        <v>-371.61744000000027</v>
      </c>
      <c r="AD74" s="6">
        <f t="shared" si="7"/>
        <v>0</v>
      </c>
      <c r="AE74" s="6">
        <f ca="1">(L74-M74)*(Z74+AA74)+($Z$2+$AA$2-$Z$74-$AA$74)*(L74)</f>
        <v>-202.76123451593452</v>
      </c>
      <c r="AF74" s="4" t="s">
        <v>697</v>
      </c>
    </row>
    <row r="75" spans="1:32" ht="11.25" customHeight="1" x14ac:dyDescent="0.3">
      <c r="A75" s="4" t="s">
        <v>28</v>
      </c>
      <c r="B75" s="4" t="s">
        <v>43</v>
      </c>
      <c r="C75" s="4" t="s">
        <v>23</v>
      </c>
      <c r="D75" s="4" t="s">
        <v>44</v>
      </c>
      <c r="E75" s="4" t="s">
        <v>25</v>
      </c>
      <c r="F75" s="4" t="s">
        <v>25</v>
      </c>
      <c r="G75" s="4" t="s">
        <v>25</v>
      </c>
      <c r="H75" s="4" t="s">
        <v>25</v>
      </c>
      <c r="I75" s="5">
        <v>44501</v>
      </c>
      <c r="J75" s="6">
        <v>0</v>
      </c>
      <c r="K75" s="6">
        <v>0</v>
      </c>
      <c r="L75" s="6">
        <v>19.436</v>
      </c>
      <c r="M75" s="6">
        <v>19.436</v>
      </c>
      <c r="N75" s="6">
        <v>19.436</v>
      </c>
      <c r="O75" s="6">
        <v>19.436</v>
      </c>
      <c r="P75" s="6">
        <v>105</v>
      </c>
      <c r="Q75" s="4" t="s">
        <v>26</v>
      </c>
      <c r="R75" s="4">
        <v>0</v>
      </c>
      <c r="S75" s="4">
        <v>0</v>
      </c>
      <c r="T75" s="4">
        <v>52</v>
      </c>
      <c r="U75" s="4">
        <v>9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389.81</v>
      </c>
      <c r="X75" s="6">
        <f>IF(ISERROR(VLOOKUP($U$75,'TAR FIN'!$A$1:$O$85,15,0)),0,VLOOKUP($U$75,'TAR FIN'!$A$1:$O$85,15,0))</f>
        <v>163.44999999999999</v>
      </c>
      <c r="Y75" s="6"/>
      <c r="Z75" s="6">
        <f ca="1">('TUSD BE'!$AM$33+'TUSD BF'!$AM$33+'TUSD CVA'!$AM$33)*(1-CUSTOS!$M$38)</f>
        <v>488.10481154466686</v>
      </c>
      <c r="AA75" s="6">
        <f>('TE BE'!$AB$24+'TE BF'!$AB$24+'TE CVA'!$AB$24)*(1-CUSTOS!$M$38)</f>
        <v>156.75768826917292</v>
      </c>
      <c r="AB75" s="6">
        <f t="shared" si="6"/>
        <v>0</v>
      </c>
      <c r="AC75" s="6">
        <f>(L75-M75)*(W75+X75)+($W$2+$X$2-$W$75-$X$75)*(L75)</f>
        <v>1466.251840000001</v>
      </c>
      <c r="AD75" s="6">
        <f t="shared" si="7"/>
        <v>0</v>
      </c>
      <c r="AE75" s="6">
        <f ca="1">(L75-M75)*(Z75+AA75)+($Z$2+$AA$2-$Z$75-$AA$75)*(L75)</f>
        <v>800.01367317330562</v>
      </c>
      <c r="AF75" s="4" t="s">
        <v>697</v>
      </c>
    </row>
    <row r="76" spans="1:32" ht="11.25" customHeight="1" x14ac:dyDescent="0.3">
      <c r="A76" s="4" t="s">
        <v>28</v>
      </c>
      <c r="B76" s="4" t="s">
        <v>43</v>
      </c>
      <c r="C76" s="4" t="s">
        <v>23</v>
      </c>
      <c r="D76" s="4" t="s">
        <v>44</v>
      </c>
      <c r="E76" s="4" t="s">
        <v>25</v>
      </c>
      <c r="F76" s="4" t="s">
        <v>25</v>
      </c>
      <c r="G76" s="4" t="s">
        <v>25</v>
      </c>
      <c r="H76" s="4" t="s">
        <v>25</v>
      </c>
      <c r="I76" s="5">
        <v>44501</v>
      </c>
      <c r="J76" s="6">
        <v>0</v>
      </c>
      <c r="K76" s="6">
        <v>0</v>
      </c>
      <c r="L76" s="6">
        <v>-1.0269999999999999</v>
      </c>
      <c r="M76" s="6">
        <v>-1.0269999999999999</v>
      </c>
      <c r="N76" s="6">
        <v>-1.0269999999999999</v>
      </c>
      <c r="O76" s="6">
        <v>-1.0269999999999999</v>
      </c>
      <c r="P76" s="6">
        <v>2</v>
      </c>
      <c r="Q76" s="4" t="s">
        <v>26</v>
      </c>
      <c r="R76" s="4">
        <v>0</v>
      </c>
      <c r="S76" s="4">
        <v>0</v>
      </c>
      <c r="T76" s="4">
        <v>52</v>
      </c>
      <c r="U76" s="4">
        <v>9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389.81</v>
      </c>
      <c r="X76" s="6">
        <f>IF(ISERROR(VLOOKUP($U$76,'TAR FIN'!$A$1:$O$85,15,0)),0,VLOOKUP($U$76,'TAR FIN'!$A$1:$O$85,15,0))</f>
        <v>163.44999999999999</v>
      </c>
      <c r="Y76" s="6"/>
      <c r="Z76" s="6">
        <f ca="1">('TUSD BE'!$AM$33+'TUSD BF'!$AM$33+'TUSD CVA'!$AM$33)*(1-CUSTOS!$M$38)</f>
        <v>488.10481154466686</v>
      </c>
      <c r="AA76" s="6">
        <f>('TE BE'!$AB$24+'TE BF'!$AB$24+'TE CVA'!$AB$24)*(1-CUSTOS!$M$38)</f>
        <v>156.75768826917292</v>
      </c>
      <c r="AB76" s="6">
        <f t="shared" si="6"/>
        <v>0</v>
      </c>
      <c r="AC76" s="6">
        <f>(L76-M76)*(W76+X76)+($W$2+$X$2-$W$76-$X$76)*(L76)</f>
        <v>-77.476880000000051</v>
      </c>
      <c r="AD76" s="6">
        <f t="shared" si="7"/>
        <v>0</v>
      </c>
      <c r="AE76" s="6">
        <f ca="1">(L76-M76)*(Z76+AA76)+($Z$2+$AA$2-$Z$76-$AA$76)*(L76)</f>
        <v>-42.272794934605102</v>
      </c>
      <c r="AF76" s="4" t="s">
        <v>697</v>
      </c>
    </row>
    <row r="77" spans="1:32" ht="11.25" customHeight="1" x14ac:dyDescent="0.3">
      <c r="A77" s="4" t="s">
        <v>21</v>
      </c>
      <c r="B77" s="4" t="s">
        <v>43</v>
      </c>
      <c r="C77" s="4" t="s">
        <v>23</v>
      </c>
      <c r="D77" s="4" t="s">
        <v>44</v>
      </c>
      <c r="E77" s="4" t="s">
        <v>25</v>
      </c>
      <c r="F77" s="4" t="s">
        <v>25</v>
      </c>
      <c r="G77" s="4" t="s">
        <v>25</v>
      </c>
      <c r="H77" s="4" t="s">
        <v>25</v>
      </c>
      <c r="I77" s="5">
        <v>44531</v>
      </c>
      <c r="J77" s="6">
        <v>0</v>
      </c>
      <c r="K77" s="6">
        <v>0</v>
      </c>
      <c r="L77" s="6">
        <v>1747.2080000000001</v>
      </c>
      <c r="M77" s="6">
        <v>1747.2080000000001</v>
      </c>
      <c r="N77" s="6">
        <v>1747.2080000000001</v>
      </c>
      <c r="O77" s="6">
        <v>1747.2080000000001</v>
      </c>
      <c r="P77" s="6">
        <v>5715</v>
      </c>
      <c r="Q77" s="4" t="s">
        <v>26</v>
      </c>
      <c r="R77" s="4">
        <v>0</v>
      </c>
      <c r="S77" s="4">
        <v>0</v>
      </c>
      <c r="T77" s="4">
        <v>52</v>
      </c>
      <c r="U77" s="4">
        <v>9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389.81</v>
      </c>
      <c r="X77" s="6">
        <f>IF(ISERROR(VLOOKUP($U$77,'TAR FIN'!$A$1:$O$85,15,0)),0,VLOOKUP($U$77,'TAR FIN'!$A$1:$O$85,15,0))</f>
        <v>163.44999999999999</v>
      </c>
      <c r="Y77" s="6"/>
      <c r="Z77" s="6">
        <f ca="1">('TUSD BE'!$AM$33+'TUSD BF'!$AM$33+'TUSD CVA'!$AM$33)*(1-CUSTOS!$M$38)</f>
        <v>488.10481154466686</v>
      </c>
      <c r="AA77" s="6">
        <f>('TE BE'!$AB$24+'TE BF'!$AB$24+'TE CVA'!$AB$24)*(1-CUSTOS!$M$38)</f>
        <v>156.75768826917292</v>
      </c>
      <c r="AB77" s="6">
        <f t="shared" si="6"/>
        <v>0</v>
      </c>
      <c r="AC77" s="6">
        <f>(L77-M77)*(W77+X77)+($W$2+$X$2-$W$77-$X$77)*(L77)</f>
        <v>131809.3715200001</v>
      </c>
      <c r="AD77" s="6">
        <f t="shared" si="7"/>
        <v>0</v>
      </c>
      <c r="AE77" s="6">
        <f ca="1">(L77-M77)*(Z77+AA77)+($Z$2+$AA$2-$Z$77-$AA$77)*(L77)</f>
        <v>71917.59054732378</v>
      </c>
      <c r="AF77" s="4" t="s">
        <v>697</v>
      </c>
    </row>
    <row r="78" spans="1:32" ht="11.25" customHeight="1" x14ac:dyDescent="0.3">
      <c r="A78" s="4" t="s">
        <v>27</v>
      </c>
      <c r="B78" s="4" t="s">
        <v>43</v>
      </c>
      <c r="C78" s="4" t="s">
        <v>23</v>
      </c>
      <c r="D78" s="4" t="s">
        <v>44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44531</v>
      </c>
      <c r="J78" s="6">
        <v>0</v>
      </c>
      <c r="K78" s="6">
        <v>0</v>
      </c>
      <c r="L78" s="6">
        <v>0.81899999999999995</v>
      </c>
      <c r="M78" s="6">
        <v>0.81899999999999995</v>
      </c>
      <c r="N78" s="6">
        <v>0.81899999999999995</v>
      </c>
      <c r="O78" s="6">
        <v>0.81899999999999995</v>
      </c>
      <c r="P78" s="6">
        <v>0</v>
      </c>
      <c r="Q78" s="4" t="s">
        <v>26</v>
      </c>
      <c r="R78" s="4">
        <v>0</v>
      </c>
      <c r="S78" s="4">
        <v>0</v>
      </c>
      <c r="T78" s="4">
        <v>52</v>
      </c>
      <c r="U78" s="4">
        <v>9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389.81</v>
      </c>
      <c r="X78" s="6">
        <f>IF(ISERROR(VLOOKUP($U$78,'TAR FIN'!$A$1:$O$85,15,0)),0,VLOOKUP($U$78,'TAR FIN'!$A$1:$O$85,15,0))</f>
        <v>163.44999999999999</v>
      </c>
      <c r="Y78" s="6"/>
      <c r="Z78" s="6">
        <f ca="1">('TUSD BE'!$AM$33+'TUSD BF'!$AM$33+'TUSD CVA'!$AM$33)*(1-CUSTOS!$M$38)</f>
        <v>488.10481154466686</v>
      </c>
      <c r="AA78" s="6">
        <f>('TE BE'!$AB$24+'TE BF'!$AB$24+'TE CVA'!$AB$24)*(1-CUSTOS!$M$38)</f>
        <v>156.75768826917292</v>
      </c>
      <c r="AB78" s="6">
        <f t="shared" si="6"/>
        <v>0</v>
      </c>
      <c r="AC78" s="6">
        <f>(L78-M78)*(W78+X78)+($W$2+$X$2-$W$78-$X$78)*(L78)</f>
        <v>61.78536000000004</v>
      </c>
      <c r="AD78" s="6">
        <f t="shared" si="7"/>
        <v>0</v>
      </c>
      <c r="AE78" s="6">
        <f ca="1">(L78-M78)*(Z78+AA78)+($Z$2+$AA$2-$Z$78-$AA$78)*(L78)</f>
        <v>33.711216213672422</v>
      </c>
      <c r="AF78" s="4" t="s">
        <v>697</v>
      </c>
    </row>
    <row r="79" spans="1:32" ht="11.25" customHeight="1" x14ac:dyDescent="0.3">
      <c r="A79" s="4" t="s">
        <v>28</v>
      </c>
      <c r="B79" s="4" t="s">
        <v>43</v>
      </c>
      <c r="C79" s="4" t="s">
        <v>23</v>
      </c>
      <c r="D79" s="4" t="s">
        <v>44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44531</v>
      </c>
      <c r="J79" s="6">
        <v>0</v>
      </c>
      <c r="K79" s="6">
        <v>0</v>
      </c>
      <c r="L79" s="6">
        <v>20.591999999999999</v>
      </c>
      <c r="M79" s="6">
        <v>20.591999999999999</v>
      </c>
      <c r="N79" s="6">
        <v>20.591999999999999</v>
      </c>
      <c r="O79" s="6">
        <v>20.591999999999999</v>
      </c>
      <c r="P79" s="6">
        <v>113</v>
      </c>
      <c r="Q79" s="4" t="s">
        <v>26</v>
      </c>
      <c r="R79" s="4">
        <v>0</v>
      </c>
      <c r="S79" s="4">
        <v>0</v>
      </c>
      <c r="T79" s="4">
        <v>52</v>
      </c>
      <c r="U79" s="4">
        <v>9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389.81</v>
      </c>
      <c r="X79" s="6">
        <f>IF(ISERROR(VLOOKUP($U$79,'TAR FIN'!$A$1:$O$85,15,0)),0,VLOOKUP($U$79,'TAR FIN'!$A$1:$O$85,15,0))</f>
        <v>163.44999999999999</v>
      </c>
      <c r="Y79" s="6"/>
      <c r="Z79" s="6">
        <f ca="1">('TUSD BE'!$AM$33+'TUSD BF'!$AM$33+'TUSD CVA'!$AM$33)*(1-CUSTOS!$M$38)</f>
        <v>488.10481154466686</v>
      </c>
      <c r="AA79" s="6">
        <f>('TE BE'!$AB$24+'TE BF'!$AB$24+'TE CVA'!$AB$24)*(1-CUSTOS!$M$38)</f>
        <v>156.75768826917292</v>
      </c>
      <c r="AB79" s="6">
        <f t="shared" si="6"/>
        <v>0</v>
      </c>
      <c r="AC79" s="6">
        <f>(L79-M79)*(W79+X79)+($W$2+$X$2-$W$79-$X$79)*(L79)</f>
        <v>1553.4604800000011</v>
      </c>
      <c r="AD79" s="6">
        <f t="shared" si="7"/>
        <v>0</v>
      </c>
      <c r="AE79" s="6">
        <f ca="1">(L79-M79)*(Z79+AA79)+($Z$2+$AA$2-$Z$79-$AA$79)*(L79)</f>
        <v>847.59629337233525</v>
      </c>
      <c r="AF79" s="4" t="s">
        <v>697</v>
      </c>
    </row>
    <row r="80" spans="1:32" ht="11.25" customHeight="1" x14ac:dyDescent="0.3">
      <c r="A80" s="4" t="s">
        <v>21</v>
      </c>
      <c r="B80" s="4" t="s">
        <v>43</v>
      </c>
      <c r="C80" s="4" t="s">
        <v>23</v>
      </c>
      <c r="D80" s="4" t="s">
        <v>44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44562</v>
      </c>
      <c r="J80" s="6">
        <v>0</v>
      </c>
      <c r="K80" s="6">
        <v>0</v>
      </c>
      <c r="L80" s="6">
        <v>2243.922</v>
      </c>
      <c r="M80" s="6">
        <v>2243.922</v>
      </c>
      <c r="N80" s="6">
        <v>2243.922</v>
      </c>
      <c r="O80" s="6">
        <v>2243.922</v>
      </c>
      <c r="P80" s="6">
        <v>5706</v>
      </c>
      <c r="Q80" s="4" t="s">
        <v>26</v>
      </c>
      <c r="R80" s="4">
        <v>0</v>
      </c>
      <c r="S80" s="4">
        <v>0</v>
      </c>
      <c r="T80" s="4">
        <v>52</v>
      </c>
      <c r="U80" s="4">
        <v>9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389.81</v>
      </c>
      <c r="X80" s="6">
        <f>IF(ISERROR(VLOOKUP($U$80,'TAR FIN'!$A$1:$O$85,15,0)),0,VLOOKUP($U$80,'TAR FIN'!$A$1:$O$85,15,0))</f>
        <v>163.44999999999999</v>
      </c>
      <c r="Y80" s="6"/>
      <c r="Z80" s="6">
        <f ca="1">('TUSD BE'!$AM$33+'TUSD BF'!$AM$33+'TUSD CVA'!$AM$33)*(1-CUSTOS!$M$38)</f>
        <v>488.10481154466686</v>
      </c>
      <c r="AA80" s="6">
        <f>('TE BE'!$AB$24+'TE BF'!$AB$24+'TE CVA'!$AB$24)*(1-CUSTOS!$M$38)</f>
        <v>156.75768826917292</v>
      </c>
      <c r="AB80" s="6">
        <f t="shared" si="6"/>
        <v>0</v>
      </c>
      <c r="AC80" s="6">
        <f>(L80-M80)*(W80+X80)+($W$2+$X$2-$W$80-$X$80)*(L80)</f>
        <v>169281.47568000012</v>
      </c>
      <c r="AD80" s="6">
        <f t="shared" si="7"/>
        <v>0</v>
      </c>
      <c r="AE80" s="6">
        <f ca="1">(L80-M80)*(Z80+AA80)+($Z$2+$AA$2-$Z$80-$AA$80)*(L80)</f>
        <v>92363.052147272596</v>
      </c>
      <c r="AF80" s="4" t="s">
        <v>697</v>
      </c>
    </row>
    <row r="81" spans="1:32" ht="11.25" customHeight="1" x14ac:dyDescent="0.3">
      <c r="A81" s="4" t="s">
        <v>27</v>
      </c>
      <c r="B81" s="4" t="s">
        <v>43</v>
      </c>
      <c r="C81" s="4" t="s">
        <v>23</v>
      </c>
      <c r="D81" s="4" t="s">
        <v>44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44562</v>
      </c>
      <c r="J81" s="6">
        <v>0</v>
      </c>
      <c r="K81" s="6">
        <v>0</v>
      </c>
      <c r="L81" s="6">
        <v>-2.4689999999999999</v>
      </c>
      <c r="M81" s="6">
        <v>-2.4689999999999999</v>
      </c>
      <c r="N81" s="6">
        <v>-2.4689999999999999</v>
      </c>
      <c r="O81" s="6">
        <v>-2.4689999999999999</v>
      </c>
      <c r="P81" s="6">
        <v>0</v>
      </c>
      <c r="Q81" s="4" t="s">
        <v>26</v>
      </c>
      <c r="R81" s="4">
        <v>0</v>
      </c>
      <c r="S81" s="4">
        <v>0</v>
      </c>
      <c r="T81" s="4">
        <v>52</v>
      </c>
      <c r="U81" s="4">
        <v>9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389.81</v>
      </c>
      <c r="X81" s="6">
        <f>IF(ISERROR(VLOOKUP($U$81,'TAR FIN'!$A$1:$O$85,15,0)),0,VLOOKUP($U$81,'TAR FIN'!$A$1:$O$85,15,0))</f>
        <v>163.44999999999999</v>
      </c>
      <c r="Y81" s="6"/>
      <c r="Z81" s="6">
        <f ca="1">('TUSD BE'!$AM$33+'TUSD BF'!$AM$33+'TUSD CVA'!$AM$33)*(1-CUSTOS!$M$38)</f>
        <v>488.10481154466686</v>
      </c>
      <c r="AA81" s="6">
        <f>('TE BE'!$AB$24+'TE BF'!$AB$24+'TE CVA'!$AB$24)*(1-CUSTOS!$M$38)</f>
        <v>156.75768826917292</v>
      </c>
      <c r="AB81" s="6">
        <f t="shared" si="6"/>
        <v>0</v>
      </c>
      <c r="AC81" s="6">
        <f>(L81-M81)*(W81+X81)+($W$2+$X$2-$W$81-$X$81)*(L81)</f>
        <v>-186.26136000000014</v>
      </c>
      <c r="AD81" s="6">
        <f t="shared" si="7"/>
        <v>0</v>
      </c>
      <c r="AE81" s="6">
        <f ca="1">(L81-M81)*(Z81+AA81)+($Z$2+$AA$2-$Z$81-$AA$81)*(L81)</f>
        <v>-101.62758587491723</v>
      </c>
      <c r="AF81" s="4" t="s">
        <v>697</v>
      </c>
    </row>
    <row r="82" spans="1:32" ht="11.25" customHeight="1" x14ac:dyDescent="0.3">
      <c r="A82" s="4" t="s">
        <v>28</v>
      </c>
      <c r="B82" s="4" t="s">
        <v>43</v>
      </c>
      <c r="C82" s="4" t="s">
        <v>23</v>
      </c>
      <c r="D82" s="4" t="s">
        <v>44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44562</v>
      </c>
      <c r="J82" s="6">
        <v>0</v>
      </c>
      <c r="K82" s="6">
        <v>0</v>
      </c>
      <c r="L82" s="6">
        <v>28.690999999999999</v>
      </c>
      <c r="M82" s="6">
        <v>28.690999999999999</v>
      </c>
      <c r="N82" s="6">
        <v>28.690999999999999</v>
      </c>
      <c r="O82" s="6">
        <v>28.690999999999999</v>
      </c>
      <c r="P82" s="6">
        <v>120</v>
      </c>
      <c r="Q82" s="4" t="s">
        <v>26</v>
      </c>
      <c r="R82" s="4">
        <v>0</v>
      </c>
      <c r="S82" s="4">
        <v>0</v>
      </c>
      <c r="T82" s="4">
        <v>52</v>
      </c>
      <c r="U82" s="4">
        <v>9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389.81</v>
      </c>
      <c r="X82" s="6">
        <f>IF(ISERROR(VLOOKUP($U$82,'TAR FIN'!$A$1:$O$85,15,0)),0,VLOOKUP($U$82,'TAR FIN'!$A$1:$O$85,15,0))</f>
        <v>163.44999999999999</v>
      </c>
      <c r="Y82" s="6"/>
      <c r="Z82" s="6">
        <f ca="1">('TUSD BE'!$AM$33+'TUSD BF'!$AM$33+'TUSD CVA'!$AM$33)*(1-CUSTOS!$M$38)</f>
        <v>488.10481154466686</v>
      </c>
      <c r="AA82" s="6">
        <f>('TE BE'!$AB$24+'TE BF'!$AB$24+'TE CVA'!$AB$24)*(1-CUSTOS!$M$38)</f>
        <v>156.75768826917292</v>
      </c>
      <c r="AB82" s="6">
        <f t="shared" si="6"/>
        <v>0</v>
      </c>
      <c r="AC82" s="6">
        <f>(L82-M82)*(W82+X82)+($W$2+$X$2-$W$82-$X$82)*(L82)</f>
        <v>2164.4490400000013</v>
      </c>
      <c r="AD82" s="6">
        <f t="shared" si="7"/>
        <v>0</v>
      </c>
      <c r="AE82" s="6">
        <f ca="1">(L82-M82)*(Z82+AA82)+($Z$2+$AA$2-$Z$82-$AA$82)*(L82)</f>
        <v>1180.9627648186515</v>
      </c>
      <c r="AF82" s="4" t="s">
        <v>697</v>
      </c>
    </row>
    <row r="83" spans="1:32" ht="11.25" customHeight="1" x14ac:dyDescent="0.3">
      <c r="A83" s="4" t="s">
        <v>21</v>
      </c>
      <c r="B83" s="4" t="s">
        <v>43</v>
      </c>
      <c r="C83" s="4" t="s">
        <v>23</v>
      </c>
      <c r="D83" s="4" t="s">
        <v>44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44593</v>
      </c>
      <c r="J83" s="6">
        <v>0</v>
      </c>
      <c r="K83" s="6">
        <v>0</v>
      </c>
      <c r="L83" s="6">
        <v>2134.567</v>
      </c>
      <c r="M83" s="6">
        <v>2134.567</v>
      </c>
      <c r="N83" s="6">
        <v>2134.567</v>
      </c>
      <c r="O83" s="6">
        <v>2134.567</v>
      </c>
      <c r="P83" s="6">
        <v>5678</v>
      </c>
      <c r="Q83" s="4" t="s">
        <v>26</v>
      </c>
      <c r="R83" s="4">
        <v>0</v>
      </c>
      <c r="S83" s="4">
        <v>0</v>
      </c>
      <c r="T83" s="4">
        <v>52</v>
      </c>
      <c r="U83" s="4">
        <v>9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389.81</v>
      </c>
      <c r="X83" s="6">
        <f>IF(ISERROR(VLOOKUP($U$83,'TAR FIN'!$A$1:$O$85,15,0)),0,VLOOKUP($U$83,'TAR FIN'!$A$1:$O$85,15,0))</f>
        <v>163.44999999999999</v>
      </c>
      <c r="Y83" s="6"/>
      <c r="Z83" s="6">
        <f ca="1">('TUSD BE'!$AM$33+'TUSD BF'!$AM$33+'TUSD CVA'!$AM$33)*(1-CUSTOS!$M$38)</f>
        <v>488.10481154466686</v>
      </c>
      <c r="AA83" s="6">
        <f>('TE BE'!$AB$24+'TE BF'!$AB$24+'TE CVA'!$AB$24)*(1-CUSTOS!$M$38)</f>
        <v>156.75768826917292</v>
      </c>
      <c r="AB83" s="6">
        <f t="shared" si="6"/>
        <v>0</v>
      </c>
      <c r="AC83" s="6">
        <f>(L83-M83)*(W83+X83)+($W$2+$X$2-$W$83-$X$83)*(L83)</f>
        <v>161031.73448000013</v>
      </c>
      <c r="AD83" s="6">
        <f t="shared" si="7"/>
        <v>0</v>
      </c>
      <c r="AE83" s="6">
        <f ca="1">(L83-M83)*(Z83+AA83)+($Z$2+$AA$2-$Z$83-$AA$83)*(L83)</f>
        <v>87861.843296178398</v>
      </c>
      <c r="AF83" s="4" t="s">
        <v>697</v>
      </c>
    </row>
    <row r="84" spans="1:32" ht="11.25" customHeight="1" x14ac:dyDescent="0.3">
      <c r="A84" s="4" t="s">
        <v>27</v>
      </c>
      <c r="B84" s="4" t="s">
        <v>43</v>
      </c>
      <c r="C84" s="4" t="s">
        <v>23</v>
      </c>
      <c r="D84" s="4" t="s">
        <v>44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44593</v>
      </c>
      <c r="J84" s="6">
        <v>0</v>
      </c>
      <c r="K84" s="6">
        <v>0</v>
      </c>
      <c r="L84" s="6">
        <v>-2.1890000000000001</v>
      </c>
      <c r="M84" s="6">
        <v>-2.1890000000000001</v>
      </c>
      <c r="N84" s="6">
        <v>-2.1890000000000001</v>
      </c>
      <c r="O84" s="6">
        <v>-2.1890000000000001</v>
      </c>
      <c r="P84" s="6">
        <v>0</v>
      </c>
      <c r="Q84" s="4" t="s">
        <v>26</v>
      </c>
      <c r="R84" s="4">
        <v>0</v>
      </c>
      <c r="S84" s="4">
        <v>0</v>
      </c>
      <c r="T84" s="4">
        <v>52</v>
      </c>
      <c r="U84" s="4">
        <v>9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389.81</v>
      </c>
      <c r="X84" s="6">
        <f>IF(ISERROR(VLOOKUP($U$84,'TAR FIN'!$A$1:$O$85,15,0)),0,VLOOKUP($U$84,'TAR FIN'!$A$1:$O$85,15,0))</f>
        <v>163.44999999999999</v>
      </c>
      <c r="Y84" s="6"/>
      <c r="Z84" s="6">
        <f ca="1">('TUSD BE'!$AM$33+'TUSD BF'!$AM$33+'TUSD CVA'!$AM$33)*(1-CUSTOS!$M$38)</f>
        <v>488.10481154466686</v>
      </c>
      <c r="AA84" s="6">
        <f>('TE BE'!$AB$24+'TE BF'!$AB$24+'TE CVA'!$AB$24)*(1-CUSTOS!$M$38)</f>
        <v>156.75768826917292</v>
      </c>
      <c r="AB84" s="6">
        <f t="shared" si="6"/>
        <v>0</v>
      </c>
      <c r="AC84" s="6">
        <f>(L84-M84)*(W84+X84)+($W$2+$X$2-$W$84-$X$84)*(L84)</f>
        <v>-165.13816000000011</v>
      </c>
      <c r="AD84" s="6">
        <f t="shared" si="7"/>
        <v>0</v>
      </c>
      <c r="AE84" s="6">
        <f ca="1">(L84-M84)*(Z84+AA84)+($Z$2+$AA$2-$Z$84-$AA$84)*(L84)</f>
        <v>-90.102383750584792</v>
      </c>
      <c r="AF84" s="4" t="s">
        <v>697</v>
      </c>
    </row>
    <row r="85" spans="1:32" ht="11.25" customHeight="1" x14ac:dyDescent="0.3">
      <c r="A85" s="4" t="s">
        <v>28</v>
      </c>
      <c r="B85" s="4" t="s">
        <v>43</v>
      </c>
      <c r="C85" s="4" t="s">
        <v>23</v>
      </c>
      <c r="D85" s="4" t="s">
        <v>44</v>
      </c>
      <c r="E85" s="4" t="s">
        <v>25</v>
      </c>
      <c r="F85" s="4" t="s">
        <v>25</v>
      </c>
      <c r="G85" s="4" t="s">
        <v>25</v>
      </c>
      <c r="H85" s="4" t="s">
        <v>25</v>
      </c>
      <c r="I85" s="5">
        <v>44593</v>
      </c>
      <c r="J85" s="6">
        <v>0</v>
      </c>
      <c r="K85" s="6">
        <v>0</v>
      </c>
      <c r="L85" s="6">
        <v>45.225999999999999</v>
      </c>
      <c r="M85" s="6">
        <v>45.225999999999999</v>
      </c>
      <c r="N85" s="6">
        <v>45.225999999999999</v>
      </c>
      <c r="O85" s="6">
        <v>45.225999999999999</v>
      </c>
      <c r="P85" s="6">
        <v>135</v>
      </c>
      <c r="Q85" s="4" t="s">
        <v>26</v>
      </c>
      <c r="R85" s="4">
        <v>0</v>
      </c>
      <c r="S85" s="4">
        <v>0</v>
      </c>
      <c r="T85" s="4">
        <v>52</v>
      </c>
      <c r="U85" s="4">
        <v>9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389.81</v>
      </c>
      <c r="X85" s="6">
        <f>IF(ISERROR(VLOOKUP($U$85,'TAR FIN'!$A$1:$O$85,15,0)),0,VLOOKUP($U$85,'TAR FIN'!$A$1:$O$85,15,0))</f>
        <v>163.44999999999999</v>
      </c>
      <c r="Y85" s="6"/>
      <c r="Z85" s="6">
        <f ca="1">('TUSD BE'!$AM$33+'TUSD BF'!$AM$33+'TUSD CVA'!$AM$33)*(1-CUSTOS!$M$38)</f>
        <v>488.10481154466686</v>
      </c>
      <c r="AA85" s="6">
        <f>('TE BE'!$AB$24+'TE BF'!$AB$24+'TE CVA'!$AB$24)*(1-CUSTOS!$M$38)</f>
        <v>156.75768826917292</v>
      </c>
      <c r="AB85" s="6">
        <f t="shared" si="6"/>
        <v>0</v>
      </c>
      <c r="AC85" s="6">
        <f>(L85-M85)*(W85+X85)+($W$2+$X$2-$W$85-$X$85)*(L85)</f>
        <v>3411.8494400000022</v>
      </c>
      <c r="AD85" s="6">
        <f t="shared" si="7"/>
        <v>0</v>
      </c>
      <c r="AE85" s="6">
        <f ca="1">(L85-M85)*(Z85+AA85)+($Z$2+$AA$2-$Z$85-$AA$85)*(L85)</f>
        <v>1861.5671116966412</v>
      </c>
      <c r="AF85" s="4" t="s">
        <v>697</v>
      </c>
    </row>
    <row r="86" spans="1:32" ht="11.25" customHeight="1" x14ac:dyDescent="0.3">
      <c r="A86" s="4" t="s">
        <v>28</v>
      </c>
      <c r="B86" s="4" t="s">
        <v>43</v>
      </c>
      <c r="C86" s="4" t="s">
        <v>23</v>
      </c>
      <c r="D86" s="4" t="s">
        <v>44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44593</v>
      </c>
      <c r="J86" s="6">
        <v>0</v>
      </c>
      <c r="K86" s="6">
        <v>0</v>
      </c>
      <c r="L86" s="6">
        <v>-2.0179999999999998</v>
      </c>
      <c r="M86" s="6">
        <v>-2.0179999999999998</v>
      </c>
      <c r="N86" s="6">
        <v>-2.0179999999999998</v>
      </c>
      <c r="O86" s="6">
        <v>-2.0179999999999998</v>
      </c>
      <c r="P86" s="6">
        <v>2</v>
      </c>
      <c r="Q86" s="4" t="s">
        <v>26</v>
      </c>
      <c r="R86" s="4">
        <v>0</v>
      </c>
      <c r="S86" s="4">
        <v>0</v>
      </c>
      <c r="T86" s="4">
        <v>52</v>
      </c>
      <c r="U86" s="4">
        <v>9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389.81</v>
      </c>
      <c r="X86" s="6">
        <f>IF(ISERROR(VLOOKUP($U$86,'TAR FIN'!$A$1:$O$85,15,0)),0,VLOOKUP($U$86,'TAR FIN'!$A$1:$O$85,15,0))</f>
        <v>163.44999999999999</v>
      </c>
      <c r="Y86" s="6"/>
      <c r="Z86" s="6">
        <f ca="1">('TUSD BE'!$AM$33+'TUSD BF'!$AM$33+'TUSD CVA'!$AM$33)*(1-CUSTOS!$M$38)</f>
        <v>488.10481154466686</v>
      </c>
      <c r="AA86" s="6">
        <f>('TE BE'!$AB$24+'TE BF'!$AB$24+'TE CVA'!$AB$24)*(1-CUSTOS!$M$38)</f>
        <v>156.75768826917292</v>
      </c>
      <c r="AB86" s="6">
        <f t="shared" si="6"/>
        <v>0</v>
      </c>
      <c r="AC86" s="6">
        <f>(L86-M86)*(W86+X86)+($W$2+$X$2-$W$86-$X$86)*(L86)</f>
        <v>-152.23792000000009</v>
      </c>
      <c r="AD86" s="6">
        <f t="shared" si="7"/>
        <v>0</v>
      </c>
      <c r="AE86" s="6">
        <f ca="1">(L86-M86)*(Z86+AA86)+($Z$2+$AA$2-$Z$86-$AA$86)*(L86)</f>
        <v>-83.063778167510321</v>
      </c>
      <c r="AF86" s="4" t="s">
        <v>697</v>
      </c>
    </row>
    <row r="87" spans="1:32" ht="11.25" customHeight="1" x14ac:dyDescent="0.3">
      <c r="A87" s="4" t="s">
        <v>21</v>
      </c>
      <c r="B87" s="4" t="s">
        <v>43</v>
      </c>
      <c r="C87" s="4" t="s">
        <v>23</v>
      </c>
      <c r="D87" s="4" t="s">
        <v>44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44621</v>
      </c>
      <c r="J87" s="6">
        <v>0</v>
      </c>
      <c r="K87" s="6">
        <v>0</v>
      </c>
      <c r="L87" s="6">
        <v>1703.5640000000001</v>
      </c>
      <c r="M87" s="6">
        <v>1703.5640000000001</v>
      </c>
      <c r="N87" s="6">
        <v>1703.5640000000001</v>
      </c>
      <c r="O87" s="6">
        <v>1703.5640000000001</v>
      </c>
      <c r="P87" s="6">
        <v>5664</v>
      </c>
      <c r="Q87" s="4" t="s">
        <v>26</v>
      </c>
      <c r="R87" s="4">
        <v>0</v>
      </c>
      <c r="S87" s="4">
        <v>0</v>
      </c>
      <c r="T87" s="4">
        <v>52</v>
      </c>
      <c r="U87" s="4">
        <v>9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389.81</v>
      </c>
      <c r="X87" s="6">
        <f>IF(ISERROR(VLOOKUP($U$87,'TAR FIN'!$A$1:$O$85,15,0)),0,VLOOKUP($U$87,'TAR FIN'!$A$1:$O$85,15,0))</f>
        <v>163.44999999999999</v>
      </c>
      <c r="Y87" s="6"/>
      <c r="Z87" s="6">
        <f ca="1">('TUSD BE'!$AM$33+'TUSD BF'!$AM$33+'TUSD CVA'!$AM$33)*(1-CUSTOS!$M$38)</f>
        <v>488.10481154466686</v>
      </c>
      <c r="AA87" s="6">
        <f>('TE BE'!$AB$24+'TE BF'!$AB$24+'TE CVA'!$AB$24)*(1-CUSTOS!$M$38)</f>
        <v>156.75768826917292</v>
      </c>
      <c r="AB87" s="6">
        <f t="shared" si="6"/>
        <v>0</v>
      </c>
      <c r="AC87" s="6">
        <f>(L87-M87)*(W87+X87)+($W$2+$X$2-$W$87-$X$87)*(L87)</f>
        <v>128516.8681600001</v>
      </c>
      <c r="AD87" s="6">
        <f t="shared" si="7"/>
        <v>0</v>
      </c>
      <c r="AE87" s="6">
        <f ca="1">(L87-M87)*(Z87+AA87)+($Z$2+$AA$2-$Z$87-$AA$87)*(L87)</f>
        <v>70121.140827629613</v>
      </c>
      <c r="AF87" s="4" t="s">
        <v>697</v>
      </c>
    </row>
    <row r="88" spans="1:32" ht="11.25" customHeight="1" x14ac:dyDescent="0.3">
      <c r="A88" s="4" t="s">
        <v>27</v>
      </c>
      <c r="B88" s="4" t="s">
        <v>43</v>
      </c>
      <c r="C88" s="4" t="s">
        <v>23</v>
      </c>
      <c r="D88" s="4" t="s">
        <v>44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44621</v>
      </c>
      <c r="J88" s="6">
        <v>0</v>
      </c>
      <c r="K88" s="6">
        <v>0</v>
      </c>
      <c r="L88" s="6">
        <v>-14.714</v>
      </c>
      <c r="M88" s="6">
        <v>-14.714</v>
      </c>
      <c r="N88" s="6">
        <v>-14.714</v>
      </c>
      <c r="O88" s="6">
        <v>-14.714</v>
      </c>
      <c r="P88" s="6">
        <v>0</v>
      </c>
      <c r="Q88" s="4" t="s">
        <v>26</v>
      </c>
      <c r="R88" s="4">
        <v>0</v>
      </c>
      <c r="S88" s="4">
        <v>0</v>
      </c>
      <c r="T88" s="4">
        <v>52</v>
      </c>
      <c r="U88" s="4">
        <v>9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389.81</v>
      </c>
      <c r="X88" s="6">
        <f>IF(ISERROR(VLOOKUP($U$88,'TAR FIN'!$A$1:$O$85,15,0)),0,VLOOKUP($U$88,'TAR FIN'!$A$1:$O$85,15,0))</f>
        <v>163.44999999999999</v>
      </c>
      <c r="Y88" s="6"/>
      <c r="Z88" s="6">
        <f ca="1">('TUSD BE'!$AM$33+'TUSD BF'!$AM$33+'TUSD CVA'!$AM$33)*(1-CUSTOS!$M$38)</f>
        <v>488.10481154466686</v>
      </c>
      <c r="AA88" s="6">
        <f>('TE BE'!$AB$24+'TE BF'!$AB$24+'TE CVA'!$AB$24)*(1-CUSTOS!$M$38)</f>
        <v>156.75768826917292</v>
      </c>
      <c r="AB88" s="6">
        <f t="shared" si="6"/>
        <v>0</v>
      </c>
      <c r="AC88" s="6">
        <f>(L88-M88)*(W88+X88)+($W$2+$X$2-$W$88-$X$88)*(L88)</f>
        <v>-1110.0241600000008</v>
      </c>
      <c r="AD88" s="6">
        <f t="shared" si="7"/>
        <v>0</v>
      </c>
      <c r="AE88" s="6">
        <f ca="1">(L88-M88)*(Z88+AA88)+($Z$2+$AA$2-$Z$88-$AA$88)*(L88)</f>
        <v>-605.6493716336704</v>
      </c>
      <c r="AF88" s="4" t="s">
        <v>697</v>
      </c>
    </row>
    <row r="89" spans="1:32" ht="11.25" customHeight="1" x14ac:dyDescent="0.3">
      <c r="A89" s="4" t="s">
        <v>28</v>
      </c>
      <c r="B89" s="4" t="s">
        <v>43</v>
      </c>
      <c r="C89" s="4" t="s">
        <v>23</v>
      </c>
      <c r="D89" s="4" t="s">
        <v>44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44621</v>
      </c>
      <c r="J89" s="6">
        <v>0</v>
      </c>
      <c r="K89" s="6">
        <v>0</v>
      </c>
      <c r="L89" s="6">
        <v>29.56</v>
      </c>
      <c r="M89" s="6">
        <v>29.56</v>
      </c>
      <c r="N89" s="6">
        <v>29.56</v>
      </c>
      <c r="O89" s="6">
        <v>29.56</v>
      </c>
      <c r="P89" s="6">
        <v>140</v>
      </c>
      <c r="Q89" s="4" t="s">
        <v>26</v>
      </c>
      <c r="R89" s="4">
        <v>0</v>
      </c>
      <c r="S89" s="4">
        <v>0</v>
      </c>
      <c r="T89" s="4">
        <v>52</v>
      </c>
      <c r="U89" s="4">
        <v>9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389.81</v>
      </c>
      <c r="X89" s="6">
        <f>IF(ISERROR(VLOOKUP($U$89,'TAR FIN'!$A$1:$O$85,15,0)),0,VLOOKUP($U$89,'TAR FIN'!$A$1:$O$85,15,0))</f>
        <v>163.44999999999999</v>
      </c>
      <c r="Y89" s="6"/>
      <c r="Z89" s="6">
        <f ca="1">('TUSD BE'!$AM$33+'TUSD BF'!$AM$33+'TUSD CVA'!$AM$33)*(1-CUSTOS!$M$38)</f>
        <v>488.10481154466686</v>
      </c>
      <c r="AA89" s="6">
        <f>('TE BE'!$AB$24+'TE BF'!$AB$24+'TE CVA'!$AB$24)*(1-CUSTOS!$M$38)</f>
        <v>156.75768826917292</v>
      </c>
      <c r="AB89" s="6">
        <f t="shared" si="6"/>
        <v>0</v>
      </c>
      <c r="AC89" s="6">
        <f>(L89-M89)*(W89+X89)+($W$2+$X$2-$W$89-$X$89)*(L89)</f>
        <v>2230.0064000000016</v>
      </c>
      <c r="AD89" s="6">
        <f t="shared" si="7"/>
        <v>0</v>
      </c>
      <c r="AE89" s="6">
        <f ca="1">(L89-M89)*(Z89+AA89)+($Z$2+$AA$2-$Z$89-$AA$89)*(L89)</f>
        <v>1216.7320528402404</v>
      </c>
      <c r="AF89" s="4" t="s">
        <v>697</v>
      </c>
    </row>
    <row r="90" spans="1:32" ht="11.25" customHeight="1" x14ac:dyDescent="0.3">
      <c r="A90" s="4" t="s">
        <v>21</v>
      </c>
      <c r="B90" s="4" t="s">
        <v>43</v>
      </c>
      <c r="C90" s="4" t="s">
        <v>23</v>
      </c>
      <c r="D90" s="4" t="s">
        <v>44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44652</v>
      </c>
      <c r="J90" s="6">
        <v>0</v>
      </c>
      <c r="K90" s="6">
        <v>0</v>
      </c>
      <c r="L90" s="6">
        <v>1461.453</v>
      </c>
      <c r="M90" s="6">
        <v>1461.453</v>
      </c>
      <c r="N90" s="6">
        <v>1461.453</v>
      </c>
      <c r="O90" s="6">
        <v>1461.453</v>
      </c>
      <c r="P90" s="6">
        <v>5631</v>
      </c>
      <c r="Q90" s="4" t="s">
        <v>26</v>
      </c>
      <c r="R90" s="4">
        <v>0</v>
      </c>
      <c r="S90" s="4">
        <v>0</v>
      </c>
      <c r="T90" s="4">
        <v>52</v>
      </c>
      <c r="U90" s="4">
        <v>9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389.81</v>
      </c>
      <c r="X90" s="6">
        <f>IF(ISERROR(VLOOKUP($U$90,'TAR FIN'!$A$1:$O$85,15,0)),0,VLOOKUP($U$90,'TAR FIN'!$A$1:$O$85,15,0))</f>
        <v>163.44999999999999</v>
      </c>
      <c r="Y90" s="6"/>
      <c r="Z90" s="6">
        <f ca="1">('TUSD BE'!$AM$33+'TUSD BF'!$AM$33+'TUSD CVA'!$AM$33)*(1-CUSTOS!$M$38)</f>
        <v>488.10481154466686</v>
      </c>
      <c r="AA90" s="6">
        <f>('TE BE'!$AB$24+'TE BF'!$AB$24+'TE CVA'!$AB$24)*(1-CUSTOS!$M$38)</f>
        <v>156.75768826917292</v>
      </c>
      <c r="AB90" s="6">
        <f t="shared" si="6"/>
        <v>0</v>
      </c>
      <c r="AC90" s="6">
        <f>(L90-M90)*(W90+X90)+($W$2+$X$2-$W$90-$X$90)*(L90)</f>
        <v>110252.01432000007</v>
      </c>
      <c r="AD90" s="6">
        <f t="shared" si="7"/>
        <v>0</v>
      </c>
      <c r="AE90" s="6">
        <f ca="1">(L90-M90)*(Z90+AA90)+($Z$2+$AA$2-$Z$90-$AA$90)*(L90)</f>
        <v>60155.504357900129</v>
      </c>
      <c r="AF90" s="4" t="s">
        <v>697</v>
      </c>
    </row>
    <row r="91" spans="1:32" ht="11.25" customHeight="1" x14ac:dyDescent="0.3">
      <c r="A91" s="4" t="s">
        <v>27</v>
      </c>
      <c r="B91" s="4" t="s">
        <v>43</v>
      </c>
      <c r="C91" s="4" t="s">
        <v>23</v>
      </c>
      <c r="D91" s="4" t="s">
        <v>44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44652</v>
      </c>
      <c r="J91" s="6">
        <v>0</v>
      </c>
      <c r="K91" s="6">
        <v>0</v>
      </c>
      <c r="L91" s="6">
        <v>-0.51600000000000001</v>
      </c>
      <c r="M91" s="6">
        <v>-0.51600000000000001</v>
      </c>
      <c r="N91" s="6">
        <v>-0.51600000000000001</v>
      </c>
      <c r="O91" s="6">
        <v>-0.51600000000000001</v>
      </c>
      <c r="P91" s="6">
        <v>0</v>
      </c>
      <c r="Q91" s="4" t="s">
        <v>26</v>
      </c>
      <c r="R91" s="4">
        <v>0</v>
      </c>
      <c r="S91" s="4">
        <v>0</v>
      </c>
      <c r="T91" s="4">
        <v>52</v>
      </c>
      <c r="U91" s="4">
        <v>9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389.81</v>
      </c>
      <c r="X91" s="6">
        <f>IF(ISERROR(VLOOKUP($U$91,'TAR FIN'!$A$1:$O$85,15,0)),0,VLOOKUP($U$91,'TAR FIN'!$A$1:$O$85,15,0))</f>
        <v>163.44999999999999</v>
      </c>
      <c r="Y91" s="6"/>
      <c r="Z91" s="6">
        <f ca="1">('TUSD BE'!$AM$33+'TUSD BF'!$AM$33+'TUSD CVA'!$AM$33)*(1-CUSTOS!$M$38)</f>
        <v>488.10481154466686</v>
      </c>
      <c r="AA91" s="6">
        <f>('TE BE'!$AB$24+'TE BF'!$AB$24+'TE CVA'!$AB$24)*(1-CUSTOS!$M$38)</f>
        <v>156.75768826917292</v>
      </c>
      <c r="AB91" s="6">
        <f t="shared" si="6"/>
        <v>0</v>
      </c>
      <c r="AC91" s="6">
        <f>(L91-M91)*(W91+X91)+($W$2+$X$2-$W$91-$X$91)*(L91)</f>
        <v>-38.927040000000027</v>
      </c>
      <c r="AD91" s="6">
        <f t="shared" si="7"/>
        <v>0</v>
      </c>
      <c r="AE91" s="6">
        <f ca="1">(L91-M91)*(Z91+AA91)+($Z$2+$AA$2-$Z$91-$AA$91)*(L91)</f>
        <v>-21.239301057698377</v>
      </c>
      <c r="AF91" s="4" t="s">
        <v>697</v>
      </c>
    </row>
    <row r="92" spans="1:32" ht="11.25" customHeight="1" x14ac:dyDescent="0.3">
      <c r="A92" s="4" t="s">
        <v>28</v>
      </c>
      <c r="B92" s="4" t="s">
        <v>43</v>
      </c>
      <c r="C92" s="4" t="s">
        <v>23</v>
      </c>
      <c r="D92" s="4" t="s">
        <v>44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44652</v>
      </c>
      <c r="J92" s="6">
        <v>0</v>
      </c>
      <c r="K92" s="6">
        <v>0</v>
      </c>
      <c r="L92" s="6">
        <v>30.376999999999999</v>
      </c>
      <c r="M92" s="6">
        <v>30.376999999999999</v>
      </c>
      <c r="N92" s="6">
        <v>30.376999999999999</v>
      </c>
      <c r="O92" s="6">
        <v>30.376999999999999</v>
      </c>
      <c r="P92" s="6">
        <v>160</v>
      </c>
      <c r="Q92" s="4" t="s">
        <v>26</v>
      </c>
      <c r="R92" s="4">
        <v>0</v>
      </c>
      <c r="S92" s="4">
        <v>0</v>
      </c>
      <c r="T92" s="4">
        <v>52</v>
      </c>
      <c r="U92" s="4">
        <v>9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389.81</v>
      </c>
      <c r="X92" s="6">
        <f>IF(ISERROR(VLOOKUP($U$92,'TAR FIN'!$A$1:$O$85,15,0)),0,VLOOKUP($U$92,'TAR FIN'!$A$1:$O$85,15,0))</f>
        <v>163.44999999999999</v>
      </c>
      <c r="Y92" s="6"/>
      <c r="Z92" s="6">
        <f ca="1">('TUSD BE'!$AM$33+'TUSD BF'!$AM$33+'TUSD CVA'!$AM$33)*(1-CUSTOS!$M$38)</f>
        <v>488.10481154466686</v>
      </c>
      <c r="AA92" s="6">
        <f>('TE BE'!$AB$24+'TE BF'!$AB$24+'TE CVA'!$AB$24)*(1-CUSTOS!$M$38)</f>
        <v>156.75768826917292</v>
      </c>
      <c r="AB92" s="6">
        <f t="shared" si="6"/>
        <v>0</v>
      </c>
      <c r="AC92" s="6">
        <f>(L92-M92)*(W92+X92)+($W$2+$X$2-$W$92-$X$92)*(L92)</f>
        <v>2291.6408800000017</v>
      </c>
      <c r="AD92" s="6">
        <f t="shared" si="7"/>
        <v>0</v>
      </c>
      <c r="AE92" s="6">
        <f ca="1">(L92-M92)*(Z92+AA92)+($Z$2+$AA$2-$Z$92-$AA$92)*(L92)</f>
        <v>1250.3609461815961</v>
      </c>
      <c r="AF92" s="4" t="s">
        <v>697</v>
      </c>
    </row>
    <row r="93" spans="1:32" ht="11.25" customHeight="1" x14ac:dyDescent="0.3">
      <c r="A93" s="4" t="s">
        <v>28</v>
      </c>
      <c r="B93" s="4" t="s">
        <v>43</v>
      </c>
      <c r="C93" s="4" t="s">
        <v>23</v>
      </c>
      <c r="D93" s="4" t="s">
        <v>44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44652</v>
      </c>
      <c r="J93" s="6">
        <v>0</v>
      </c>
      <c r="K93" s="6">
        <v>0</v>
      </c>
      <c r="L93" s="6">
        <v>12.362</v>
      </c>
      <c r="M93" s="6">
        <v>12.362</v>
      </c>
      <c r="N93" s="6">
        <v>12.362</v>
      </c>
      <c r="O93" s="6">
        <v>12.362</v>
      </c>
      <c r="P93" s="6">
        <v>1</v>
      </c>
      <c r="Q93" s="4" t="s">
        <v>26</v>
      </c>
      <c r="R93" s="4">
        <v>0</v>
      </c>
      <c r="S93" s="4">
        <v>0</v>
      </c>
      <c r="T93" s="4">
        <v>52</v>
      </c>
      <c r="U93" s="4">
        <v>9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389.81</v>
      </c>
      <c r="X93" s="6">
        <f>IF(ISERROR(VLOOKUP($U$93,'TAR FIN'!$A$1:$O$85,15,0)),0,VLOOKUP($U$93,'TAR FIN'!$A$1:$O$85,15,0))</f>
        <v>163.44999999999999</v>
      </c>
      <c r="Y93" s="6"/>
      <c r="Z93" s="6">
        <f ca="1">('TUSD BE'!$AM$33+'TUSD BF'!$AM$33+'TUSD CVA'!$AM$33)*(1-CUSTOS!$M$38)</f>
        <v>488.10481154466686</v>
      </c>
      <c r="AA93" s="6">
        <f>('TE BE'!$AB$24+'TE BF'!$AB$24+'TE CVA'!$AB$24)*(1-CUSTOS!$M$38)</f>
        <v>156.75768826917292</v>
      </c>
      <c r="AB93" s="6">
        <f t="shared" si="6"/>
        <v>0</v>
      </c>
      <c r="AC93" s="6">
        <f>(L93-M93)*(W93+X93)+($W$2+$X$2-$W$93-$X$93)*(L93)</f>
        <v>932.58928000000071</v>
      </c>
      <c r="AD93" s="6">
        <f t="shared" si="7"/>
        <v>0</v>
      </c>
      <c r="AE93" s="6">
        <f ca="1">(L93-M93)*(Z93+AA93)+($Z$2+$AA$2-$Z$93-$AA$93)*(L93)</f>
        <v>508.8376737892778</v>
      </c>
      <c r="AF93" s="4" t="s">
        <v>697</v>
      </c>
    </row>
    <row r="94" spans="1:32" ht="11.25" customHeight="1" x14ac:dyDescent="0.3">
      <c r="A94" s="4" t="s">
        <v>21</v>
      </c>
      <c r="B94" s="4" t="s">
        <v>43</v>
      </c>
      <c r="C94" s="4" t="s">
        <v>23</v>
      </c>
      <c r="D94" s="4" t="s">
        <v>44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0</v>
      </c>
      <c r="K94" s="6">
        <v>0</v>
      </c>
      <c r="L94" s="6">
        <v>1347.9069999999999</v>
      </c>
      <c r="M94" s="6">
        <v>1347.9069999999999</v>
      </c>
      <c r="N94" s="6">
        <v>1347.9069999999999</v>
      </c>
      <c r="O94" s="6">
        <v>1347.9069999999999</v>
      </c>
      <c r="P94" s="6">
        <v>5614</v>
      </c>
      <c r="Q94" s="4" t="s">
        <v>26</v>
      </c>
      <c r="R94" s="4">
        <v>0</v>
      </c>
      <c r="S94" s="4">
        <v>0</v>
      </c>
      <c r="T94" s="4">
        <v>52</v>
      </c>
      <c r="U94" s="4">
        <v>9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389.81</v>
      </c>
      <c r="X94" s="6">
        <f>IF(ISERROR(VLOOKUP($U$94,'TAR FIN'!$A$1:$O$85,15,0)),0,VLOOKUP($U$94,'TAR FIN'!$A$1:$O$85,15,0))</f>
        <v>163.44999999999999</v>
      </c>
      <c r="Y94" s="6"/>
      <c r="Z94" s="6">
        <f ca="1">('TUSD BE'!$AM$33+'TUSD BF'!$AM$33+'TUSD CVA'!$AM$33)*(1-CUSTOS!$M$38)</f>
        <v>488.10481154466686</v>
      </c>
      <c r="AA94" s="6">
        <f>('TE BE'!$AB$24+'TE BF'!$AB$24+'TE CVA'!$AB$24)*(1-CUSTOS!$M$38)</f>
        <v>156.75768826917292</v>
      </c>
      <c r="AB94" s="6">
        <f t="shared" si="6"/>
        <v>0</v>
      </c>
      <c r="AC94" s="6">
        <f>(L94-M94)*(W94+X94)+($W$2+$X$2-$W$94-$X$94)*(L94)</f>
        <v>101686.10408000006</v>
      </c>
      <c r="AD94" s="6">
        <f t="shared" si="7"/>
        <v>0</v>
      </c>
      <c r="AE94" s="6">
        <f ca="1">(L94-M94)*(Z94+AA94)+($Z$2+$AA$2-$Z$94-$AA$94)*(L94)</f>
        <v>55481.787927866368</v>
      </c>
      <c r="AF94" s="4" t="s">
        <v>697</v>
      </c>
    </row>
    <row r="95" spans="1:32" ht="11.25" customHeight="1" x14ac:dyDescent="0.3">
      <c r="A95" s="4" t="s">
        <v>27</v>
      </c>
      <c r="B95" s="4" t="s">
        <v>43</v>
      </c>
      <c r="C95" s="4" t="s">
        <v>23</v>
      </c>
      <c r="D95" s="4" t="s">
        <v>44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44682</v>
      </c>
      <c r="J95" s="6">
        <v>0</v>
      </c>
      <c r="K95" s="6">
        <v>0</v>
      </c>
      <c r="L95" s="6">
        <v>-1.5860000000000001</v>
      </c>
      <c r="M95" s="6">
        <v>-1.5860000000000001</v>
      </c>
      <c r="N95" s="6">
        <v>-1.5860000000000001</v>
      </c>
      <c r="O95" s="6">
        <v>-1.5860000000000001</v>
      </c>
      <c r="P95" s="6">
        <v>0</v>
      </c>
      <c r="Q95" s="4" t="s">
        <v>26</v>
      </c>
      <c r="R95" s="4">
        <v>0</v>
      </c>
      <c r="S95" s="4">
        <v>0</v>
      </c>
      <c r="T95" s="4">
        <v>52</v>
      </c>
      <c r="U95" s="4">
        <v>9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389.81</v>
      </c>
      <c r="X95" s="6">
        <f>IF(ISERROR(VLOOKUP($U$95,'TAR FIN'!$A$1:$O$85,15,0)),0,VLOOKUP($U$95,'TAR FIN'!$A$1:$O$85,15,0))</f>
        <v>163.44999999999999</v>
      </c>
      <c r="Y95" s="6"/>
      <c r="Z95" s="6">
        <f ca="1">('TUSD BE'!$AM$33+'TUSD BF'!$AM$33+'TUSD CVA'!$AM$33)*(1-CUSTOS!$M$38)</f>
        <v>488.10481154466686</v>
      </c>
      <c r="AA95" s="6">
        <f>('TE BE'!$AB$24+'TE BF'!$AB$24+'TE CVA'!$AB$24)*(1-CUSTOS!$M$38)</f>
        <v>156.75768826917292</v>
      </c>
      <c r="AB95" s="6">
        <f t="shared" si="6"/>
        <v>0</v>
      </c>
      <c r="AC95" s="6">
        <f>(L95-M95)*(W95+X95)+($W$2+$X$2-$W$95-$X$95)*(L95)</f>
        <v>-119.64784000000009</v>
      </c>
      <c r="AD95" s="6">
        <f t="shared" si="7"/>
        <v>0</v>
      </c>
      <c r="AE95" s="6">
        <f ca="1">(L95-M95)*(Z95+AA95)+($Z$2+$AA$2-$Z$95-$AA$95)*(L95)</f>
        <v>-65.282037747111687</v>
      </c>
      <c r="AF95" s="4" t="s">
        <v>697</v>
      </c>
    </row>
    <row r="96" spans="1:32" ht="11.25" customHeight="1" x14ac:dyDescent="0.3">
      <c r="A96" s="4" t="s">
        <v>28</v>
      </c>
      <c r="B96" s="4" t="s">
        <v>43</v>
      </c>
      <c r="C96" s="4" t="s">
        <v>23</v>
      </c>
      <c r="D96" s="4" t="s">
        <v>44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44682</v>
      </c>
      <c r="J96" s="6">
        <v>0</v>
      </c>
      <c r="K96" s="6">
        <v>0</v>
      </c>
      <c r="L96" s="6">
        <v>46.774999999999999</v>
      </c>
      <c r="M96" s="6">
        <v>46.774999999999999</v>
      </c>
      <c r="N96" s="6">
        <v>46.774999999999999</v>
      </c>
      <c r="O96" s="6">
        <v>46.774999999999999</v>
      </c>
      <c r="P96" s="6">
        <v>170</v>
      </c>
      <c r="Q96" s="4" t="s">
        <v>26</v>
      </c>
      <c r="R96" s="4">
        <v>0</v>
      </c>
      <c r="S96" s="4">
        <v>0</v>
      </c>
      <c r="T96" s="4">
        <v>52</v>
      </c>
      <c r="U96" s="4">
        <v>9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389.81</v>
      </c>
      <c r="X96" s="6">
        <f>IF(ISERROR(VLOOKUP($U$96,'TAR FIN'!$A$1:$O$85,15,0)),0,VLOOKUP($U$96,'TAR FIN'!$A$1:$O$85,15,0))</f>
        <v>163.44999999999999</v>
      </c>
      <c r="Y96" s="6"/>
      <c r="Z96" s="6">
        <f ca="1">('TUSD BE'!$AM$33+'TUSD BF'!$AM$33+'TUSD CVA'!$AM$33)*(1-CUSTOS!$M$38)</f>
        <v>488.10481154466686</v>
      </c>
      <c r="AA96" s="6">
        <f>('TE BE'!$AB$24+'TE BF'!$AB$24+'TE CVA'!$AB$24)*(1-CUSTOS!$M$38)</f>
        <v>156.75768826917292</v>
      </c>
      <c r="AB96" s="6">
        <f t="shared" si="6"/>
        <v>0</v>
      </c>
      <c r="AC96" s="6">
        <f>(L96-M96)*(W96+X96)+($W$2+$X$2-$W$96-$X$96)*(L96)</f>
        <v>3528.7060000000024</v>
      </c>
      <c r="AD96" s="6">
        <f t="shared" si="7"/>
        <v>0</v>
      </c>
      <c r="AE96" s="6">
        <f ca="1">(L96-M96)*(Z96+AA96)+($Z$2+$AA$2-$Z$96-$AA$96)*(L96)</f>
        <v>1925.3261763058945</v>
      </c>
      <c r="AF96" s="4" t="s">
        <v>697</v>
      </c>
    </row>
    <row r="97" spans="1:32" ht="11.25" customHeight="1" x14ac:dyDescent="0.3">
      <c r="A97" s="4" t="s">
        <v>28</v>
      </c>
      <c r="B97" s="4" t="s">
        <v>43</v>
      </c>
      <c r="C97" s="4" t="s">
        <v>23</v>
      </c>
      <c r="D97" s="4" t="s">
        <v>44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44682</v>
      </c>
      <c r="J97" s="6">
        <v>0</v>
      </c>
      <c r="K97" s="6">
        <v>0</v>
      </c>
      <c r="L97" s="6">
        <v>15.874000000000001</v>
      </c>
      <c r="M97" s="6">
        <v>15.874000000000001</v>
      </c>
      <c r="N97" s="6">
        <v>15.874000000000001</v>
      </c>
      <c r="O97" s="6">
        <v>15.874000000000001</v>
      </c>
      <c r="P97" s="6">
        <v>7</v>
      </c>
      <c r="Q97" s="4" t="s">
        <v>26</v>
      </c>
      <c r="R97" s="4">
        <v>0</v>
      </c>
      <c r="S97" s="4">
        <v>0</v>
      </c>
      <c r="T97" s="4">
        <v>52</v>
      </c>
      <c r="U97" s="4">
        <v>9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389.81</v>
      </c>
      <c r="X97" s="6">
        <f>IF(ISERROR(VLOOKUP($U$97,'TAR FIN'!$A$1:$O$85,15,0)),0,VLOOKUP($U$97,'TAR FIN'!$A$1:$O$85,15,0))</f>
        <v>163.44999999999999</v>
      </c>
      <c r="Y97" s="6"/>
      <c r="Z97" s="6">
        <f ca="1">('TUSD BE'!$AM$33+'TUSD BF'!$AM$33+'TUSD CVA'!$AM$33)*(1-CUSTOS!$M$38)</f>
        <v>488.10481154466686</v>
      </c>
      <c r="AA97" s="6">
        <f>('TE BE'!$AB$24+'TE BF'!$AB$24+'TE CVA'!$AB$24)*(1-CUSTOS!$M$38)</f>
        <v>156.75768826917292</v>
      </c>
      <c r="AB97" s="6">
        <f t="shared" si="6"/>
        <v>0</v>
      </c>
      <c r="AC97" s="6">
        <f>(L97-M97)*(W97+X97)+($W$2+$X$2-$W$97-$X$97)*(L97)</f>
        <v>1197.534560000001</v>
      </c>
      <c r="AD97" s="6">
        <f t="shared" si="7"/>
        <v>0</v>
      </c>
      <c r="AE97" s="6">
        <f ca="1">(L97-M97)*(Z97+AA97)+($Z$2+$AA$2-$Z$97-$AA$97)*(L97)</f>
        <v>653.39663757733342</v>
      </c>
      <c r="AF97" s="4" t="s">
        <v>697</v>
      </c>
    </row>
    <row r="98" spans="1:32" ht="11.25" customHeight="1" x14ac:dyDescent="0.3">
      <c r="A98" s="4" t="s">
        <v>21</v>
      </c>
      <c r="B98" s="4" t="s">
        <v>43</v>
      </c>
      <c r="C98" s="4" t="s">
        <v>23</v>
      </c>
      <c r="D98" s="4" t="s">
        <v>44</v>
      </c>
      <c r="E98" s="4" t="s">
        <v>25</v>
      </c>
      <c r="F98" s="4" t="s">
        <v>25</v>
      </c>
      <c r="G98" s="4" t="s">
        <v>25</v>
      </c>
      <c r="H98" s="4" t="s">
        <v>25</v>
      </c>
      <c r="I98" s="5">
        <v>44713</v>
      </c>
      <c r="J98" s="6">
        <v>0</v>
      </c>
      <c r="K98" s="6">
        <v>0</v>
      </c>
      <c r="L98" s="6">
        <v>1366.492</v>
      </c>
      <c r="M98" s="6">
        <v>1366.492</v>
      </c>
      <c r="N98" s="6">
        <v>1366.492</v>
      </c>
      <c r="O98" s="6">
        <v>1366.492</v>
      </c>
      <c r="P98" s="6">
        <v>5593</v>
      </c>
      <c r="Q98" s="4" t="s">
        <v>26</v>
      </c>
      <c r="R98" s="4">
        <v>0</v>
      </c>
      <c r="S98" s="4">
        <v>0</v>
      </c>
      <c r="T98" s="4">
        <v>52</v>
      </c>
      <c r="U98" s="4">
        <v>9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389.81</v>
      </c>
      <c r="X98" s="6">
        <f>IF(ISERROR(VLOOKUP($U$98,'TAR FIN'!$A$1:$O$85,15,0)),0,VLOOKUP($U$98,'TAR FIN'!$A$1:$O$85,15,0))</f>
        <v>163.44999999999999</v>
      </c>
      <c r="Y98" s="6"/>
      <c r="Z98" s="6">
        <f ca="1">('TUSD BE'!$AM$33+'TUSD BF'!$AM$33+'TUSD CVA'!$AM$33)*(1-CUSTOS!$M$38)</f>
        <v>488.10481154466686</v>
      </c>
      <c r="AA98" s="6">
        <f>('TE BE'!$AB$24+'TE BF'!$AB$24+'TE CVA'!$AB$24)*(1-CUSTOS!$M$38)</f>
        <v>156.75768826917292</v>
      </c>
      <c r="AB98" s="6">
        <f t="shared" ref="AB98:AB104" si="8">(J98-K98)*V98</f>
        <v>0</v>
      </c>
      <c r="AC98" s="6">
        <f>(L98-M98)*(W98+X98)+($W$2+$X$2-$W$98-$X$98)*(L98)</f>
        <v>103088.15648000008</v>
      </c>
      <c r="AD98" s="6">
        <f t="shared" ref="AD98:AD104" si="9">(J98-K98)*Y98</f>
        <v>0</v>
      </c>
      <c r="AE98" s="6">
        <f ca="1">(L98-M98)*(Z98+AA98)+($Z$2+$AA$2-$Z$98-$AA$98)*(L98)</f>
        <v>56246.773218868933</v>
      </c>
      <c r="AF98" s="4" t="s">
        <v>697</v>
      </c>
    </row>
    <row r="99" spans="1:32" ht="11.25" customHeight="1" x14ac:dyDescent="0.3">
      <c r="A99" s="4" t="s">
        <v>27</v>
      </c>
      <c r="B99" s="4" t="s">
        <v>43</v>
      </c>
      <c r="C99" s="4" t="s">
        <v>23</v>
      </c>
      <c r="D99" s="4" t="s">
        <v>44</v>
      </c>
      <c r="E99" s="4" t="s">
        <v>25</v>
      </c>
      <c r="F99" s="4" t="s">
        <v>25</v>
      </c>
      <c r="G99" s="4" t="s">
        <v>25</v>
      </c>
      <c r="H99" s="4" t="s">
        <v>25</v>
      </c>
      <c r="I99" s="5">
        <v>44713</v>
      </c>
      <c r="J99" s="6">
        <v>0</v>
      </c>
      <c r="K99" s="6">
        <v>0</v>
      </c>
      <c r="L99" s="6">
        <v>-0.187</v>
      </c>
      <c r="M99" s="6">
        <v>-0.187</v>
      </c>
      <c r="N99" s="6">
        <v>-0.187</v>
      </c>
      <c r="O99" s="6">
        <v>-0.187</v>
      </c>
      <c r="P99" s="6">
        <v>0</v>
      </c>
      <c r="Q99" s="4" t="s">
        <v>26</v>
      </c>
      <c r="R99" s="4">
        <v>0</v>
      </c>
      <c r="S99" s="4">
        <v>0</v>
      </c>
      <c r="T99" s="4">
        <v>52</v>
      </c>
      <c r="U99" s="4">
        <v>9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389.81</v>
      </c>
      <c r="X99" s="6">
        <f>IF(ISERROR(VLOOKUP($U$99,'TAR FIN'!$A$1:$O$85,15,0)),0,VLOOKUP($U$99,'TAR FIN'!$A$1:$O$85,15,0))</f>
        <v>163.44999999999999</v>
      </c>
      <c r="Y99" s="6"/>
      <c r="Z99" s="6">
        <f ca="1">('TUSD BE'!$AM$33+'TUSD BF'!$AM$33+'TUSD CVA'!$AM$33)*(1-CUSTOS!$M$38)</f>
        <v>488.10481154466686</v>
      </c>
      <c r="AA99" s="6">
        <f>('TE BE'!$AB$24+'TE BF'!$AB$24+'TE CVA'!$AB$24)*(1-CUSTOS!$M$38)</f>
        <v>156.75768826917292</v>
      </c>
      <c r="AB99" s="6">
        <f t="shared" si="8"/>
        <v>0</v>
      </c>
      <c r="AC99" s="6">
        <f>(L99-M99)*(W99+X99)+($W$2+$X$2-$W$99-$X$99)*(L99)</f>
        <v>-14.10728000000001</v>
      </c>
      <c r="AD99" s="6">
        <f t="shared" si="9"/>
        <v>0</v>
      </c>
      <c r="AE99" s="6">
        <f ca="1">(L99-M99)*(Z99+AA99)+($Z$2+$AA$2-$Z$99-$AA$99)*(L99)</f>
        <v>-7.6971885616077458</v>
      </c>
      <c r="AF99" s="4" t="s">
        <v>697</v>
      </c>
    </row>
    <row r="100" spans="1:32" ht="11.25" customHeight="1" x14ac:dyDescent="0.3">
      <c r="A100" s="4" t="s">
        <v>21</v>
      </c>
      <c r="B100" s="4" t="s">
        <v>43</v>
      </c>
      <c r="C100" s="4" t="s">
        <v>23</v>
      </c>
      <c r="D100" s="4" t="s">
        <v>44</v>
      </c>
      <c r="E100" s="4" t="s">
        <v>25</v>
      </c>
      <c r="F100" s="4" t="s">
        <v>25</v>
      </c>
      <c r="G100" s="4" t="s">
        <v>25</v>
      </c>
      <c r="H100" s="4" t="s">
        <v>25</v>
      </c>
      <c r="I100" s="5">
        <v>44743</v>
      </c>
      <c r="J100" s="6">
        <v>0</v>
      </c>
      <c r="K100" s="6">
        <v>0</v>
      </c>
      <c r="L100" s="6">
        <v>1206.8920000000001</v>
      </c>
      <c r="M100" s="6">
        <v>1206.8920000000001</v>
      </c>
      <c r="N100" s="6">
        <v>1206.8920000000001</v>
      </c>
      <c r="O100" s="6">
        <v>1206.8920000000001</v>
      </c>
      <c r="P100" s="6">
        <v>5577</v>
      </c>
      <c r="Q100" s="4" t="s">
        <v>26</v>
      </c>
      <c r="R100" s="4">
        <v>0</v>
      </c>
      <c r="S100" s="4">
        <v>0</v>
      </c>
      <c r="T100" s="4">
        <v>52</v>
      </c>
      <c r="U100" s="4">
        <v>9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389.81</v>
      </c>
      <c r="X100" s="6">
        <f>IF(ISERROR(VLOOKUP($U$100,'TAR FIN'!$A$1:$O$85,15,0)),0,VLOOKUP($U$100,'TAR FIN'!$A$1:$O$85,15,0))</f>
        <v>163.44999999999999</v>
      </c>
      <c r="Y100" s="6"/>
      <c r="Z100" s="6">
        <f ca="1">('TUSD BE'!$AM$33+'TUSD BF'!$AM$33+'TUSD CVA'!$AM$33)*(1-CUSTOS!$M$38)</f>
        <v>488.10481154466686</v>
      </c>
      <c r="AA100" s="6">
        <f>('TE BE'!$AB$24+'TE BF'!$AB$24+'TE CVA'!$AB$24)*(1-CUSTOS!$M$38)</f>
        <v>156.75768826917292</v>
      </c>
      <c r="AB100" s="6">
        <f t="shared" si="8"/>
        <v>0</v>
      </c>
      <c r="AC100" s="6">
        <f>(L100-M100)*(W100+X100)+($W$2+$X$2-$W$100-$X$100)*(L100)</f>
        <v>91047.932480000076</v>
      </c>
      <c r="AD100" s="6">
        <f t="shared" si="9"/>
        <v>0</v>
      </c>
      <c r="AE100" s="6">
        <f ca="1">(L100-M100)*(Z100+AA100)+($Z$2+$AA$2-$Z$100-$AA$100)*(L100)</f>
        <v>49677.408007999438</v>
      </c>
      <c r="AF100" s="4" t="s">
        <v>697</v>
      </c>
    </row>
    <row r="101" spans="1:32" ht="11.25" customHeight="1" x14ac:dyDescent="0.3">
      <c r="A101" s="4" t="s">
        <v>27</v>
      </c>
      <c r="B101" s="4" t="s">
        <v>43</v>
      </c>
      <c r="C101" s="4" t="s">
        <v>23</v>
      </c>
      <c r="D101" s="4" t="s">
        <v>44</v>
      </c>
      <c r="E101" s="4" t="s">
        <v>25</v>
      </c>
      <c r="F101" s="4" t="s">
        <v>25</v>
      </c>
      <c r="G101" s="4" t="s">
        <v>25</v>
      </c>
      <c r="H101" s="4" t="s">
        <v>25</v>
      </c>
      <c r="I101" s="5">
        <v>44743</v>
      </c>
      <c r="J101" s="6">
        <v>0</v>
      </c>
      <c r="K101" s="6">
        <v>0</v>
      </c>
      <c r="L101" s="6">
        <v>-0.32800000000000001</v>
      </c>
      <c r="M101" s="6">
        <v>-0.32800000000000001</v>
      </c>
      <c r="N101" s="6">
        <v>-0.32800000000000001</v>
      </c>
      <c r="O101" s="6">
        <v>-0.32800000000000001</v>
      </c>
      <c r="P101" s="6">
        <v>0</v>
      </c>
      <c r="Q101" s="4" t="s">
        <v>26</v>
      </c>
      <c r="R101" s="4">
        <v>0</v>
      </c>
      <c r="S101" s="4">
        <v>0</v>
      </c>
      <c r="T101" s="4">
        <v>52</v>
      </c>
      <c r="U101" s="4">
        <v>9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389.81</v>
      </c>
      <c r="X101" s="6">
        <f>IF(ISERROR(VLOOKUP($U$101,'TAR FIN'!$A$1:$O$85,15,0)),0,VLOOKUP($U$101,'TAR FIN'!$A$1:$O$85,15,0))</f>
        <v>163.44999999999999</v>
      </c>
      <c r="Y101" s="6"/>
      <c r="Z101" s="6">
        <f ca="1">('TUSD BE'!$AM$33+'TUSD BF'!$AM$33+'TUSD CVA'!$AM$33)*(1-CUSTOS!$M$38)</f>
        <v>488.10481154466686</v>
      </c>
      <c r="AA101" s="6">
        <f>('TE BE'!$AB$24+'TE BF'!$AB$24+'TE CVA'!$AB$24)*(1-CUSTOS!$M$38)</f>
        <v>156.75768826917292</v>
      </c>
      <c r="AB101" s="6">
        <f t="shared" si="8"/>
        <v>0</v>
      </c>
      <c r="AC101" s="6">
        <f>(L101-M101)*(W101+X101)+($W$2+$X$2-$W$101-$X$101)*(L101)</f>
        <v>-24.74432000000002</v>
      </c>
      <c r="AD101" s="6">
        <f t="shared" si="9"/>
        <v>0</v>
      </c>
      <c r="AE101" s="6">
        <f ca="1">(L101-M101)*(Z101+AA101)+($Z$2+$AA$2-$Z$101-$AA$101)*(L101)</f>
        <v>-13.500951059932303</v>
      </c>
      <c r="AF101" s="4" t="s">
        <v>697</v>
      </c>
    </row>
    <row r="102" spans="1:32" ht="11.25" customHeight="1" x14ac:dyDescent="0.3">
      <c r="A102" s="4" t="s">
        <v>28</v>
      </c>
      <c r="B102" s="4" t="s">
        <v>43</v>
      </c>
      <c r="C102" s="4" t="s">
        <v>23</v>
      </c>
      <c r="D102" s="4" t="s">
        <v>44</v>
      </c>
      <c r="E102" s="4" t="s">
        <v>25</v>
      </c>
      <c r="F102" s="4" t="s">
        <v>25</v>
      </c>
      <c r="G102" s="4" t="s">
        <v>25</v>
      </c>
      <c r="H102" s="4" t="s">
        <v>25</v>
      </c>
      <c r="I102" s="5">
        <v>44743</v>
      </c>
      <c r="J102" s="6">
        <v>0</v>
      </c>
      <c r="K102" s="6">
        <v>0</v>
      </c>
      <c r="L102" s="6">
        <v>46.091999999999999</v>
      </c>
      <c r="M102" s="6">
        <v>46.091999999999999</v>
      </c>
      <c r="N102" s="6">
        <v>46.091999999999999</v>
      </c>
      <c r="O102" s="6">
        <v>46.091999999999999</v>
      </c>
      <c r="P102" s="6">
        <v>188</v>
      </c>
      <c r="Q102" s="4" t="s">
        <v>26</v>
      </c>
      <c r="R102" s="4">
        <v>0</v>
      </c>
      <c r="S102" s="4">
        <v>0</v>
      </c>
      <c r="T102" s="4">
        <v>52</v>
      </c>
      <c r="U102" s="4">
        <v>9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389.81</v>
      </c>
      <c r="X102" s="6">
        <f>IF(ISERROR(VLOOKUP($U$102,'TAR FIN'!$A$1:$O$85,15,0)),0,VLOOKUP($U$102,'TAR FIN'!$A$1:$O$85,15,0))</f>
        <v>163.44999999999999</v>
      </c>
      <c r="Y102" s="6"/>
      <c r="Z102" s="6">
        <f ca="1">('TUSD BE'!$AM$33+'TUSD BF'!$AM$33+'TUSD CVA'!$AM$33)*(1-CUSTOS!$M$38)</f>
        <v>488.10481154466686</v>
      </c>
      <c r="AA102" s="6">
        <f>('TE BE'!$AB$24+'TE BF'!$AB$24+'TE CVA'!$AB$24)*(1-CUSTOS!$M$38)</f>
        <v>156.75768826917292</v>
      </c>
      <c r="AB102" s="6">
        <f t="shared" si="8"/>
        <v>0</v>
      </c>
      <c r="AC102" s="6">
        <f>(L102-M102)*(W102+X102)+($W$2+$X$2-$W$102-$X$102)*(L102)</f>
        <v>3477.1804800000023</v>
      </c>
      <c r="AD102" s="6">
        <f t="shared" si="9"/>
        <v>0</v>
      </c>
      <c r="AE102" s="6">
        <f ca="1">(L102-M102)*(Z102+AA102)+($Z$2+$AA$2-$Z$102-$AA$102)*(L102)</f>
        <v>1897.2129154097552</v>
      </c>
      <c r="AF102" s="4" t="s">
        <v>697</v>
      </c>
    </row>
    <row r="103" spans="1:32" ht="11.25" customHeight="1" x14ac:dyDescent="0.3">
      <c r="A103" s="4" t="s">
        <v>21</v>
      </c>
      <c r="B103" s="4" t="s">
        <v>43</v>
      </c>
      <c r="C103" s="4" t="s">
        <v>23</v>
      </c>
      <c r="D103" s="4" t="s">
        <v>44</v>
      </c>
      <c r="E103" s="4" t="s">
        <v>25</v>
      </c>
      <c r="F103" s="4" t="s">
        <v>25</v>
      </c>
      <c r="G103" s="4" t="s">
        <v>25</v>
      </c>
      <c r="H103" s="4" t="s">
        <v>25</v>
      </c>
      <c r="I103" s="5">
        <v>44774</v>
      </c>
      <c r="J103" s="6">
        <v>0</v>
      </c>
      <c r="K103" s="6">
        <v>0</v>
      </c>
      <c r="L103" s="6">
        <v>1362.568</v>
      </c>
      <c r="M103" s="6">
        <v>1362.568</v>
      </c>
      <c r="N103" s="6">
        <v>1362.568</v>
      </c>
      <c r="O103" s="6">
        <v>1362.568</v>
      </c>
      <c r="P103" s="6">
        <v>5576</v>
      </c>
      <c r="Q103" s="4" t="s">
        <v>26</v>
      </c>
      <c r="R103" s="4">
        <v>0</v>
      </c>
      <c r="S103" s="4">
        <v>0</v>
      </c>
      <c r="T103" s="4">
        <v>52</v>
      </c>
      <c r="U103" s="4">
        <v>9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389.81</v>
      </c>
      <c r="X103" s="6">
        <f>IF(ISERROR(VLOOKUP($U$103,'TAR FIN'!$A$1:$O$85,15,0)),0,VLOOKUP($U$103,'TAR FIN'!$A$1:$O$85,15,0))</f>
        <v>163.44999999999999</v>
      </c>
      <c r="Y103" s="6"/>
      <c r="Z103" s="6">
        <f ca="1">('TUSD BE'!$AM$33+'TUSD BF'!$AM$33+'TUSD CVA'!$AM$33)*(1-CUSTOS!$M$38)</f>
        <v>488.10481154466686</v>
      </c>
      <c r="AA103" s="6">
        <f>('TE BE'!$AB$24+'TE BF'!$AB$24+'TE CVA'!$AB$24)*(1-CUSTOS!$M$38)</f>
        <v>156.75768826917292</v>
      </c>
      <c r="AB103" s="6">
        <f t="shared" si="8"/>
        <v>0</v>
      </c>
      <c r="AC103" s="6">
        <f>(L103-M103)*(W103+X103)+($W$2+$X$2-$W$103-$X$103)*(L103)</f>
        <v>102792.12992000008</v>
      </c>
      <c r="AD103" s="6">
        <f t="shared" si="9"/>
        <v>0</v>
      </c>
      <c r="AE103" s="6">
        <f ca="1">(L103-M103)*(Z103+AA103)+($Z$2+$AA$2-$Z$103-$AA$103)*(L103)</f>
        <v>56085.255743383648</v>
      </c>
      <c r="AF103" s="4" t="s">
        <v>697</v>
      </c>
    </row>
    <row r="104" spans="1:32" ht="11.25" customHeight="1" x14ac:dyDescent="0.3">
      <c r="A104" s="4" t="s">
        <v>28</v>
      </c>
      <c r="B104" s="4" t="s">
        <v>43</v>
      </c>
      <c r="C104" s="4" t="s">
        <v>23</v>
      </c>
      <c r="D104" s="4" t="s">
        <v>44</v>
      </c>
      <c r="E104" s="4" t="s">
        <v>25</v>
      </c>
      <c r="F104" s="4" t="s">
        <v>25</v>
      </c>
      <c r="G104" s="4" t="s">
        <v>25</v>
      </c>
      <c r="H104" s="4" t="s">
        <v>25</v>
      </c>
      <c r="I104" s="5">
        <v>44774</v>
      </c>
      <c r="J104" s="6">
        <v>0</v>
      </c>
      <c r="K104" s="6">
        <v>0</v>
      </c>
      <c r="L104" s="6">
        <v>39.896999999999998</v>
      </c>
      <c r="M104" s="6">
        <v>39.896999999999998</v>
      </c>
      <c r="N104" s="6">
        <v>39.896999999999998</v>
      </c>
      <c r="O104" s="6">
        <v>39.896999999999998</v>
      </c>
      <c r="P104" s="6">
        <v>189</v>
      </c>
      <c r="Q104" s="4" t="s">
        <v>26</v>
      </c>
      <c r="R104" s="4">
        <v>0</v>
      </c>
      <c r="S104" s="4">
        <v>0</v>
      </c>
      <c r="T104" s="4">
        <v>52</v>
      </c>
      <c r="U104" s="4">
        <v>9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389.81</v>
      </c>
      <c r="X104" s="6">
        <f>IF(ISERROR(VLOOKUP($U$104,'TAR FIN'!$A$1:$O$85,15,0)),0,VLOOKUP($U$104,'TAR FIN'!$A$1:$O$85,15,0))</f>
        <v>163.44999999999999</v>
      </c>
      <c r="Y104" s="6"/>
      <c r="Z104" s="6">
        <f ca="1">('TUSD BE'!$AM$33+'TUSD BF'!$AM$33+'TUSD CVA'!$AM$33)*(1-CUSTOS!$M$38)</f>
        <v>488.10481154466686</v>
      </c>
      <c r="AA104" s="6">
        <f>('TE BE'!$AB$24+'TE BF'!$AB$24+'TE CVA'!$AB$24)*(1-CUSTOS!$M$38)</f>
        <v>156.75768826917292</v>
      </c>
      <c r="AB104" s="6">
        <f t="shared" si="8"/>
        <v>0</v>
      </c>
      <c r="AC104" s="6">
        <f>(L104-M104)*(W104+X104)+($W$2+$X$2-$W$104-$X$104)*(L104)</f>
        <v>3009.8296800000021</v>
      </c>
      <c r="AD104" s="6">
        <f t="shared" si="9"/>
        <v>0</v>
      </c>
      <c r="AE104" s="6">
        <f ca="1">(L104-M104)*(Z104+AA104)+($Z$2+$AA$2-$Z$104-$AA$104)*(L104)</f>
        <v>1642.2178184088996</v>
      </c>
      <c r="AF104" s="4" t="s">
        <v>697</v>
      </c>
    </row>
    <row r="105" spans="1:32" ht="11.25" customHeight="1" x14ac:dyDescent="0.3">
      <c r="A105" s="4" t="s">
        <v>21</v>
      </c>
      <c r="B105" s="4" t="s">
        <v>35</v>
      </c>
      <c r="C105" s="4" t="s">
        <v>23</v>
      </c>
      <c r="D105" s="4" t="s">
        <v>50</v>
      </c>
      <c r="E105" s="4" t="s">
        <v>51</v>
      </c>
      <c r="F105" s="4" t="s">
        <v>25</v>
      </c>
      <c r="G105" s="4" t="s">
        <v>25</v>
      </c>
      <c r="H105" s="4" t="s">
        <v>25</v>
      </c>
      <c r="I105" s="5">
        <v>44440</v>
      </c>
      <c r="J105" s="6">
        <v>0</v>
      </c>
      <c r="K105" s="52">
        <v>0</v>
      </c>
      <c r="L105" s="6">
        <v>8.86</v>
      </c>
      <c r="M105" s="52">
        <v>8.86</v>
      </c>
      <c r="N105" s="6">
        <v>8.86</v>
      </c>
      <c r="O105" s="52">
        <v>8.86</v>
      </c>
      <c r="P105" s="6">
        <v>5</v>
      </c>
      <c r="Q105" s="4" t="s">
        <v>26</v>
      </c>
      <c r="R105" s="4">
        <v>0</v>
      </c>
      <c r="S105" s="4">
        <v>0</v>
      </c>
      <c r="T105" s="4">
        <v>67</v>
      </c>
      <c r="U105" s="4">
        <v>39</v>
      </c>
      <c r="V105" s="52">
        <f>IF(ISERROR(VLOOKUP($S$105,'TAR FIN'!$A$1:$O$85,15,0)),0,VLOOKUP($S$105,'TAR FIN'!$A$1:$O$85,15,0))</f>
        <v>0</v>
      </c>
      <c r="W105" s="52">
        <f>IF(ISERROR(VLOOKUP($T$105,'TAR FIN'!$A$1:$O$85,15,0)),0,VLOOKUP($T$105,'TAR FIN'!$A$1:$O$85,15,0))*(1-0.06)</f>
        <v>416.38239999999996</v>
      </c>
      <c r="X105" s="52">
        <f>IF(ISERROR(VLOOKUP($U$105,'TAR FIN'!$A$1:$O$85,15,0)),0,VLOOKUP($U$105,'TAR FIN'!$A$1:$O$85,15,0))*(1-0.06)</f>
        <v>174.59559999999999</v>
      </c>
      <c r="Y105" s="52"/>
      <c r="Z105" s="52">
        <f ca="1">('TUSD BE'!$AM$48+'TUSD BF'!$AM$48+'TUSD CVA'!$AM$48)*1*(1-0.03)</f>
        <v>503.68262467907113</v>
      </c>
      <c r="AA105" s="52">
        <f>('TE BE'!$AB$39+'TE BF'!$AB$39+'TE CVA'!$AB$39)*1*(1-0.03)</f>
        <v>161.76059321393376</v>
      </c>
      <c r="AB105" s="52">
        <f>(SUBSIDIO!$J$105*SUBSIDIO!$V$105)*(0.06)/(1-0.06)</f>
        <v>0</v>
      </c>
      <c r="AC105" s="52">
        <f>((SUBSIDIO!$L$105*SUBSIDIO!$W$105)+(SUBSIDIO!$N$105*SUBSIDIO!$X$105))*(0.06)/(1-0.06)</f>
        <v>334.21691999999996</v>
      </c>
      <c r="AD105" s="52">
        <f>(SUBSIDIO!$J$105*SUBSIDIO!$Y$105)*(0.03)/(1-0.03)</f>
        <v>0</v>
      </c>
      <c r="AE105" s="52">
        <f ca="1">((SUBSIDIO!$L$105*SUBSIDIO!$Z$105)+(SUBSIDIO!$N$105*SUBSIDIO!$AA$105))*(0.03)/(1-0.03)</f>
        <v>182.34516218140274</v>
      </c>
      <c r="AF105" s="4" t="s">
        <v>698</v>
      </c>
    </row>
    <row r="106" spans="1:32" ht="11.25" customHeight="1" x14ac:dyDescent="0.3">
      <c r="A106" s="4" t="s">
        <v>21</v>
      </c>
      <c r="B106" s="4" t="s">
        <v>35</v>
      </c>
      <c r="C106" s="4" t="s">
        <v>23</v>
      </c>
      <c r="D106" s="4" t="s">
        <v>50</v>
      </c>
      <c r="E106" s="4" t="s">
        <v>51</v>
      </c>
      <c r="F106" s="4" t="s">
        <v>25</v>
      </c>
      <c r="G106" s="4" t="s">
        <v>25</v>
      </c>
      <c r="H106" s="4" t="s">
        <v>25</v>
      </c>
      <c r="I106" s="5">
        <v>44470</v>
      </c>
      <c r="J106" s="6">
        <v>0</v>
      </c>
      <c r="K106" s="52">
        <v>0</v>
      </c>
      <c r="L106" s="6">
        <v>8.4420000000000002</v>
      </c>
      <c r="M106" s="52">
        <v>8.4420000000000002</v>
      </c>
      <c r="N106" s="6">
        <v>8.4420000000000002</v>
      </c>
      <c r="O106" s="52">
        <v>8.4420000000000002</v>
      </c>
      <c r="P106" s="6">
        <v>5</v>
      </c>
      <c r="Q106" s="4" t="s">
        <v>26</v>
      </c>
      <c r="R106" s="4">
        <v>0</v>
      </c>
      <c r="S106" s="4">
        <v>0</v>
      </c>
      <c r="T106" s="4">
        <v>67</v>
      </c>
      <c r="U106" s="4">
        <v>39</v>
      </c>
      <c r="V106" s="52">
        <f>IF(ISERROR(VLOOKUP($S$106,'TAR FIN'!$A$1:$O$85,15,0)),0,VLOOKUP($S$106,'TAR FIN'!$A$1:$O$85,15,0))</f>
        <v>0</v>
      </c>
      <c r="W106" s="52">
        <f>IF(ISERROR(VLOOKUP($T$106,'TAR FIN'!$A$1:$O$85,15,0)),0,VLOOKUP($T$106,'TAR FIN'!$A$1:$O$85,15,0))*(1-0.06)</f>
        <v>416.38239999999996</v>
      </c>
      <c r="X106" s="52">
        <f>IF(ISERROR(VLOOKUP($U$106,'TAR FIN'!$A$1:$O$85,15,0)),0,VLOOKUP($U$106,'TAR FIN'!$A$1:$O$85,15,0))*(1-0.06)</f>
        <v>174.59559999999999</v>
      </c>
      <c r="Y106" s="52"/>
      <c r="Z106" s="52">
        <f ca="1">('TUSD BE'!$AM$48+'TUSD BF'!$AM$48+'TUSD CVA'!$AM$48)*1*(1-0.03)</f>
        <v>503.68262467907113</v>
      </c>
      <c r="AA106" s="52">
        <f>('TE BE'!$AB$39+'TE BF'!$AB$39+'TE CVA'!$AB$39)*1*(1-0.03)</f>
        <v>161.76059321393376</v>
      </c>
      <c r="AB106" s="52">
        <f>(SUBSIDIO!$J$106*SUBSIDIO!$V$106)*(0.06)/(1-0.06)</f>
        <v>0</v>
      </c>
      <c r="AC106" s="52">
        <f>((SUBSIDIO!$L$106*SUBSIDIO!$W$106)+(SUBSIDIO!$N$106*SUBSIDIO!$X$106))*(0.06)/(1-0.06)</f>
        <v>318.44912399999998</v>
      </c>
      <c r="AD106" s="52">
        <f>(SUBSIDIO!$J$106*SUBSIDIO!$Y$106)*(0.03)/(1-0.03)</f>
        <v>0</v>
      </c>
      <c r="AE106" s="52">
        <f ca="1">((SUBSIDIO!$L$106*SUBSIDIO!$Z$106)+(SUBSIDIO!$N$106*SUBSIDIO!$AA$106))*(0.03)/(1-0.03)</f>
        <v>173.74242202431179</v>
      </c>
      <c r="AF106" s="4" t="s">
        <v>698</v>
      </c>
    </row>
    <row r="107" spans="1:32" ht="11.25" customHeight="1" x14ac:dyDescent="0.3">
      <c r="A107" s="4" t="s">
        <v>21</v>
      </c>
      <c r="B107" s="4" t="s">
        <v>35</v>
      </c>
      <c r="C107" s="4" t="s">
        <v>23</v>
      </c>
      <c r="D107" s="4" t="s">
        <v>50</v>
      </c>
      <c r="E107" s="4" t="s">
        <v>51</v>
      </c>
      <c r="F107" s="4" t="s">
        <v>25</v>
      </c>
      <c r="G107" s="4" t="s">
        <v>25</v>
      </c>
      <c r="H107" s="4" t="s">
        <v>25</v>
      </c>
      <c r="I107" s="5">
        <v>44501</v>
      </c>
      <c r="J107" s="6">
        <v>0</v>
      </c>
      <c r="K107" s="52">
        <v>0</v>
      </c>
      <c r="L107" s="6">
        <v>7.4219999999999997</v>
      </c>
      <c r="M107" s="52">
        <v>7.4219999999999997</v>
      </c>
      <c r="N107" s="6">
        <v>7.4219999999999997</v>
      </c>
      <c r="O107" s="52">
        <v>7.4219999999999997</v>
      </c>
      <c r="P107" s="6">
        <v>5</v>
      </c>
      <c r="Q107" s="4" t="s">
        <v>26</v>
      </c>
      <c r="R107" s="4">
        <v>0</v>
      </c>
      <c r="S107" s="4">
        <v>0</v>
      </c>
      <c r="T107" s="4">
        <v>67</v>
      </c>
      <c r="U107" s="4">
        <v>39</v>
      </c>
      <c r="V107" s="52">
        <f>IF(ISERROR(VLOOKUP($S$107,'TAR FIN'!$A$1:$O$85,15,0)),0,VLOOKUP($S$107,'TAR FIN'!$A$1:$O$85,15,0))</f>
        <v>0</v>
      </c>
      <c r="W107" s="52">
        <f>IF(ISERROR(VLOOKUP($T$107,'TAR FIN'!$A$1:$O$85,15,0)),0,VLOOKUP($T$107,'TAR FIN'!$A$1:$O$85,15,0))*(1-0.06)</f>
        <v>416.38239999999996</v>
      </c>
      <c r="X107" s="52">
        <f>IF(ISERROR(VLOOKUP($U$107,'TAR FIN'!$A$1:$O$85,15,0)),0,VLOOKUP($U$107,'TAR FIN'!$A$1:$O$85,15,0))*(1-0.06)</f>
        <v>174.59559999999999</v>
      </c>
      <c r="Y107" s="52"/>
      <c r="Z107" s="52">
        <f ca="1">('TUSD BE'!$AM$48+'TUSD BF'!$AM$48+'TUSD CVA'!$AM$48)*1*(1-0.03)</f>
        <v>503.68262467907113</v>
      </c>
      <c r="AA107" s="52">
        <f>('TE BE'!$AB$39+'TE BF'!$AB$39+'TE CVA'!$AB$39)*1*(1-0.03)</f>
        <v>161.76059321393376</v>
      </c>
      <c r="AB107" s="52">
        <f>(SUBSIDIO!$J$107*SUBSIDIO!$V$107)*(0.06)/(1-0.06)</f>
        <v>0</v>
      </c>
      <c r="AC107" s="52">
        <f>((SUBSIDIO!$L$107*SUBSIDIO!$W$107)+(SUBSIDIO!$N$107*SUBSIDIO!$X$107))*(0.06)/(1-0.06)</f>
        <v>279.97268400000002</v>
      </c>
      <c r="AD107" s="52">
        <f>(SUBSIDIO!$J$107*SUBSIDIO!$Y$107)*(0.03)/(1-0.03)</f>
        <v>0</v>
      </c>
      <c r="AE107" s="52">
        <f ca="1">((SUBSIDIO!$L$107*SUBSIDIO!$Z$107)+(SUBSIDIO!$N$107*SUBSIDIO!$AA$107))*(0.03)/(1-0.03)</f>
        <v>152.75008958356338</v>
      </c>
      <c r="AF107" s="4" t="s">
        <v>698</v>
      </c>
    </row>
    <row r="108" spans="1:32" ht="11.25" customHeight="1" x14ac:dyDescent="0.3">
      <c r="A108" s="4" t="s">
        <v>21</v>
      </c>
      <c r="B108" s="4" t="s">
        <v>35</v>
      </c>
      <c r="C108" s="4" t="s">
        <v>23</v>
      </c>
      <c r="D108" s="4" t="s">
        <v>50</v>
      </c>
      <c r="E108" s="4" t="s">
        <v>51</v>
      </c>
      <c r="F108" s="4" t="s">
        <v>25</v>
      </c>
      <c r="G108" s="4" t="s">
        <v>25</v>
      </c>
      <c r="H108" s="4" t="s">
        <v>25</v>
      </c>
      <c r="I108" s="5">
        <v>44531</v>
      </c>
      <c r="J108" s="6">
        <v>0</v>
      </c>
      <c r="K108" s="52">
        <v>0</v>
      </c>
      <c r="L108" s="6">
        <v>6.89</v>
      </c>
      <c r="M108" s="52">
        <v>6.89</v>
      </c>
      <c r="N108" s="6">
        <v>6.89</v>
      </c>
      <c r="O108" s="52">
        <v>6.89</v>
      </c>
      <c r="P108" s="6">
        <v>5</v>
      </c>
      <c r="Q108" s="4" t="s">
        <v>26</v>
      </c>
      <c r="R108" s="4">
        <v>0</v>
      </c>
      <c r="S108" s="4">
        <v>0</v>
      </c>
      <c r="T108" s="4">
        <v>67</v>
      </c>
      <c r="U108" s="4">
        <v>39</v>
      </c>
      <c r="V108" s="52">
        <f>IF(ISERROR(VLOOKUP($S$108,'TAR FIN'!$A$1:$O$85,15,0)),0,VLOOKUP($S$108,'TAR FIN'!$A$1:$O$85,15,0))</f>
        <v>0</v>
      </c>
      <c r="W108" s="52">
        <f>IF(ISERROR(VLOOKUP($T$108,'TAR FIN'!$A$1:$O$85,15,0)),0,VLOOKUP($T$108,'TAR FIN'!$A$1:$O$85,15,0))*(1-0.06)</f>
        <v>416.38239999999996</v>
      </c>
      <c r="X108" s="52">
        <f>IF(ISERROR(VLOOKUP($U$108,'TAR FIN'!$A$1:$O$85,15,0)),0,VLOOKUP($U$108,'TAR FIN'!$A$1:$O$85,15,0))*(1-0.06)</f>
        <v>174.59559999999999</v>
      </c>
      <c r="Y108" s="52"/>
      <c r="Z108" s="52">
        <f ca="1">('TUSD BE'!$AM$48+'TUSD BF'!$AM$48+'TUSD CVA'!$AM$48)*1*(1-0.03)</f>
        <v>503.68262467907113</v>
      </c>
      <c r="AA108" s="52">
        <f>('TE BE'!$AB$39+'TE BF'!$AB$39+'TE CVA'!$AB$39)*1*(1-0.03)</f>
        <v>161.76059321393376</v>
      </c>
      <c r="AB108" s="52">
        <f>(SUBSIDIO!$J$108*SUBSIDIO!$V$108)*(0.06)/(1-0.06)</f>
        <v>0</v>
      </c>
      <c r="AC108" s="52">
        <f>((SUBSIDIO!$L$108*SUBSIDIO!$W$108)+(SUBSIDIO!$N$108*SUBSIDIO!$X$108))*(0.06)/(1-0.06)</f>
        <v>259.90457999999995</v>
      </c>
      <c r="AD108" s="52">
        <f>(SUBSIDIO!$J$108*SUBSIDIO!$Y$108)*(0.03)/(1-0.03)</f>
        <v>0</v>
      </c>
      <c r="AE108" s="52">
        <f ca="1">((SUBSIDIO!$L$108*SUBSIDIO!$Z$108)+(SUBSIDIO!$N$108*SUBSIDIO!$AA$108))*(0.03)/(1-0.03)</f>
        <v>141.80114756544754</v>
      </c>
      <c r="AF108" s="4" t="s">
        <v>698</v>
      </c>
    </row>
    <row r="109" spans="1:32" ht="11.25" customHeight="1" x14ac:dyDescent="0.3">
      <c r="A109" s="4" t="s">
        <v>21</v>
      </c>
      <c r="B109" s="4" t="s">
        <v>35</v>
      </c>
      <c r="C109" s="4" t="s">
        <v>23</v>
      </c>
      <c r="D109" s="4" t="s">
        <v>50</v>
      </c>
      <c r="E109" s="4" t="s">
        <v>51</v>
      </c>
      <c r="F109" s="4" t="s">
        <v>25</v>
      </c>
      <c r="G109" s="4" t="s">
        <v>25</v>
      </c>
      <c r="H109" s="4" t="s">
        <v>25</v>
      </c>
      <c r="I109" s="5">
        <v>44562</v>
      </c>
      <c r="J109" s="6">
        <v>0</v>
      </c>
      <c r="K109" s="52">
        <v>0</v>
      </c>
      <c r="L109" s="6">
        <v>6.3129999999999997</v>
      </c>
      <c r="M109" s="52">
        <v>6.3129999999999997</v>
      </c>
      <c r="N109" s="6">
        <v>6.3129999999999997</v>
      </c>
      <c r="O109" s="52">
        <v>6.3129999999999997</v>
      </c>
      <c r="P109" s="6">
        <v>5</v>
      </c>
      <c r="Q109" s="4" t="s">
        <v>26</v>
      </c>
      <c r="R109" s="4">
        <v>0</v>
      </c>
      <c r="S109" s="4">
        <v>0</v>
      </c>
      <c r="T109" s="4">
        <v>67</v>
      </c>
      <c r="U109" s="4">
        <v>39</v>
      </c>
      <c r="V109" s="52">
        <f>IF(ISERROR(VLOOKUP($S$109,'TAR FIN'!$A$1:$O$85,15,0)),0,VLOOKUP($S$109,'TAR FIN'!$A$1:$O$85,15,0))</f>
        <v>0</v>
      </c>
      <c r="W109" s="52">
        <f>IF(ISERROR(VLOOKUP($T$109,'TAR FIN'!$A$1:$O$85,15,0)),0,VLOOKUP($T$109,'TAR FIN'!$A$1:$O$85,15,0))*(1-0.06)</f>
        <v>416.38239999999996</v>
      </c>
      <c r="X109" s="52">
        <f>IF(ISERROR(VLOOKUP($U$109,'TAR FIN'!$A$1:$O$85,15,0)),0,VLOOKUP($U$109,'TAR FIN'!$A$1:$O$85,15,0))*(1-0.06)</f>
        <v>174.59559999999999</v>
      </c>
      <c r="Y109" s="52"/>
      <c r="Z109" s="52">
        <f ca="1">('TUSD BE'!$AM$48+'TUSD BF'!$AM$48+'TUSD CVA'!$AM$48)*1*(1-0.03)</f>
        <v>503.68262467907113</v>
      </c>
      <c r="AA109" s="52">
        <f>('TE BE'!$AB$39+'TE BF'!$AB$39+'TE CVA'!$AB$39)*1*(1-0.03)</f>
        <v>161.76059321393376</v>
      </c>
      <c r="AB109" s="52">
        <f>(SUBSIDIO!$J$109*SUBSIDIO!$V$109)*(0.06)/(1-0.06)</f>
        <v>0</v>
      </c>
      <c r="AC109" s="52">
        <f>((SUBSIDIO!$L$109*SUBSIDIO!$W$109)+(SUBSIDIO!$N$109*SUBSIDIO!$X$109))*(0.06)/(1-0.06)</f>
        <v>238.13898599999999</v>
      </c>
      <c r="AD109" s="52">
        <f>(SUBSIDIO!$J$109*SUBSIDIO!$Y$109)*(0.03)/(1-0.03)</f>
        <v>0</v>
      </c>
      <c r="AE109" s="52">
        <f ca="1">((SUBSIDIO!$L$109*SUBSIDIO!$Z$109)+(SUBSIDIO!$N$109*SUBSIDIO!$AA$109))*(0.03)/(1-0.03)</f>
        <v>129.92607323376927</v>
      </c>
      <c r="AF109" s="4" t="s">
        <v>698</v>
      </c>
    </row>
    <row r="110" spans="1:32" ht="11.25" customHeight="1" x14ac:dyDescent="0.3">
      <c r="A110" s="4" t="s">
        <v>21</v>
      </c>
      <c r="B110" s="4" t="s">
        <v>35</v>
      </c>
      <c r="C110" s="4" t="s">
        <v>23</v>
      </c>
      <c r="D110" s="4" t="s">
        <v>50</v>
      </c>
      <c r="E110" s="4" t="s">
        <v>51</v>
      </c>
      <c r="F110" s="4" t="s">
        <v>25</v>
      </c>
      <c r="G110" s="4" t="s">
        <v>25</v>
      </c>
      <c r="H110" s="4" t="s">
        <v>25</v>
      </c>
      <c r="I110" s="5">
        <v>44593</v>
      </c>
      <c r="J110" s="6">
        <v>0</v>
      </c>
      <c r="K110" s="52">
        <v>0</v>
      </c>
      <c r="L110" s="6">
        <v>4.319</v>
      </c>
      <c r="M110" s="52">
        <v>4.319</v>
      </c>
      <c r="N110" s="6">
        <v>4.319</v>
      </c>
      <c r="O110" s="52">
        <v>4.319</v>
      </c>
      <c r="P110" s="6">
        <v>5</v>
      </c>
      <c r="Q110" s="4" t="s">
        <v>26</v>
      </c>
      <c r="R110" s="4">
        <v>0</v>
      </c>
      <c r="S110" s="4">
        <v>0</v>
      </c>
      <c r="T110" s="4">
        <v>67</v>
      </c>
      <c r="U110" s="4">
        <v>39</v>
      </c>
      <c r="V110" s="52">
        <f>IF(ISERROR(VLOOKUP($S$110,'TAR FIN'!$A$1:$O$85,15,0)),0,VLOOKUP($S$110,'TAR FIN'!$A$1:$O$85,15,0))</f>
        <v>0</v>
      </c>
      <c r="W110" s="52">
        <f>IF(ISERROR(VLOOKUP($T$110,'TAR FIN'!$A$1:$O$85,15,0)),0,VLOOKUP($T$110,'TAR FIN'!$A$1:$O$85,15,0))*(1-0.06)</f>
        <v>416.38239999999996</v>
      </c>
      <c r="X110" s="52">
        <f>IF(ISERROR(VLOOKUP($U$110,'TAR FIN'!$A$1:$O$85,15,0)),0,VLOOKUP($U$110,'TAR FIN'!$A$1:$O$85,15,0))*(1-0.06)</f>
        <v>174.59559999999999</v>
      </c>
      <c r="Y110" s="52"/>
      <c r="Z110" s="52">
        <f ca="1">('TUSD BE'!$AM$48+'TUSD BF'!$AM$48+'TUSD CVA'!$AM$48)*1*(1-0.03)</f>
        <v>503.68262467907113</v>
      </c>
      <c r="AA110" s="52">
        <f>('TE BE'!$AB$39+'TE BF'!$AB$39+'TE CVA'!$AB$39)*1*(1-0.03)</f>
        <v>161.76059321393376</v>
      </c>
      <c r="AB110" s="52">
        <f>(SUBSIDIO!$J$110*SUBSIDIO!$V$110)*(0.06)/(1-0.06)</f>
        <v>0</v>
      </c>
      <c r="AC110" s="52">
        <f>((SUBSIDIO!$L$110*SUBSIDIO!$W$110)+(SUBSIDIO!$N$110*SUBSIDIO!$X$110))*(0.06)/(1-0.06)</f>
        <v>162.92131799999999</v>
      </c>
      <c r="AD110" s="52">
        <f>(SUBSIDIO!$J$110*SUBSIDIO!$Y$110)*(0.03)/(1-0.03)</f>
        <v>0</v>
      </c>
      <c r="AE110" s="52">
        <f ca="1">((SUBSIDIO!$L$110*SUBSIDIO!$Z$110)+(SUBSIDIO!$N$110*SUBSIDIO!$AA$110))*(0.03)/(1-0.03)</f>
        <v>88.888121383914068</v>
      </c>
      <c r="AF110" s="4" t="s">
        <v>698</v>
      </c>
    </row>
    <row r="111" spans="1:32" ht="11.25" customHeight="1" x14ac:dyDescent="0.3">
      <c r="A111" s="4" t="s">
        <v>21</v>
      </c>
      <c r="B111" s="4" t="s">
        <v>35</v>
      </c>
      <c r="C111" s="4" t="s">
        <v>23</v>
      </c>
      <c r="D111" s="4" t="s">
        <v>50</v>
      </c>
      <c r="E111" s="4" t="s">
        <v>51</v>
      </c>
      <c r="F111" s="4" t="s">
        <v>25</v>
      </c>
      <c r="G111" s="4" t="s">
        <v>25</v>
      </c>
      <c r="H111" s="4" t="s">
        <v>25</v>
      </c>
      <c r="I111" s="5">
        <v>44621</v>
      </c>
      <c r="J111" s="6">
        <v>0</v>
      </c>
      <c r="K111" s="52">
        <v>0</v>
      </c>
      <c r="L111" s="6">
        <v>3.2589999999999999</v>
      </c>
      <c r="M111" s="52">
        <v>3.2589999999999999</v>
      </c>
      <c r="N111" s="6">
        <v>3.2589999999999999</v>
      </c>
      <c r="O111" s="52">
        <v>3.2589999999999999</v>
      </c>
      <c r="P111" s="6">
        <v>5</v>
      </c>
      <c r="Q111" s="4" t="s">
        <v>26</v>
      </c>
      <c r="R111" s="4">
        <v>0</v>
      </c>
      <c r="S111" s="4">
        <v>0</v>
      </c>
      <c r="T111" s="4">
        <v>67</v>
      </c>
      <c r="U111" s="4">
        <v>39</v>
      </c>
      <c r="V111" s="52">
        <f>IF(ISERROR(VLOOKUP($S$111,'TAR FIN'!$A$1:$O$85,15,0)),0,VLOOKUP($S$111,'TAR FIN'!$A$1:$O$85,15,0))</f>
        <v>0</v>
      </c>
      <c r="W111" s="52">
        <f>IF(ISERROR(VLOOKUP($T$111,'TAR FIN'!$A$1:$O$85,15,0)),0,VLOOKUP($T$111,'TAR FIN'!$A$1:$O$85,15,0))*(1-0.06)</f>
        <v>416.38239999999996</v>
      </c>
      <c r="X111" s="52">
        <f>IF(ISERROR(VLOOKUP($U$111,'TAR FIN'!$A$1:$O$85,15,0)),0,VLOOKUP($U$111,'TAR FIN'!$A$1:$O$85,15,0))*(1-0.06)</f>
        <v>174.59559999999999</v>
      </c>
      <c r="Y111" s="52"/>
      <c r="Z111" s="52">
        <f ca="1">('TUSD BE'!$AM$48+'TUSD BF'!$AM$48+'TUSD CVA'!$AM$48)*1*(1-0.03)</f>
        <v>503.68262467907113</v>
      </c>
      <c r="AA111" s="52">
        <f>('TE BE'!$AB$39+'TE BF'!$AB$39+'TE CVA'!$AB$39)*1*(1-0.03)</f>
        <v>161.76059321393376</v>
      </c>
      <c r="AB111" s="52">
        <f>(SUBSIDIO!$J$111*SUBSIDIO!$V$111)*(0.06)/(1-0.06)</f>
        <v>0</v>
      </c>
      <c r="AC111" s="52">
        <f>((SUBSIDIO!$L$111*SUBSIDIO!$W$111)+(SUBSIDIO!$N$111*SUBSIDIO!$X$111))*(0.06)/(1-0.06)</f>
        <v>122.93599799999998</v>
      </c>
      <c r="AD111" s="52">
        <f>(SUBSIDIO!$J$111*SUBSIDIO!$Y$111)*(0.03)/(1-0.03)</f>
        <v>0</v>
      </c>
      <c r="AE111" s="52">
        <f ca="1">((SUBSIDIO!$L$111*SUBSIDIO!$Z$111)+(SUBSIDIO!$N$111*SUBSIDIO!$AA$111))*(0.03)/(1-0.03)</f>
        <v>67.072560219999062</v>
      </c>
      <c r="AF111" s="4" t="s">
        <v>698</v>
      </c>
    </row>
    <row r="112" spans="1:32" ht="11.25" customHeight="1" x14ac:dyDescent="0.3">
      <c r="A112" s="4" t="s">
        <v>21</v>
      </c>
      <c r="B112" s="4" t="s">
        <v>35</v>
      </c>
      <c r="C112" s="4" t="s">
        <v>23</v>
      </c>
      <c r="D112" s="4" t="s">
        <v>50</v>
      </c>
      <c r="E112" s="4" t="s">
        <v>51</v>
      </c>
      <c r="F112" s="4" t="s">
        <v>25</v>
      </c>
      <c r="G112" s="4" t="s">
        <v>25</v>
      </c>
      <c r="H112" s="4" t="s">
        <v>25</v>
      </c>
      <c r="I112" s="5">
        <v>44652</v>
      </c>
      <c r="J112" s="6">
        <v>0</v>
      </c>
      <c r="K112" s="52">
        <v>0</v>
      </c>
      <c r="L112" s="6">
        <v>3.5129999999999999</v>
      </c>
      <c r="M112" s="52">
        <v>3.5129999999999999</v>
      </c>
      <c r="N112" s="6">
        <v>3.5129999999999999</v>
      </c>
      <c r="O112" s="52">
        <v>3.5129999999999999</v>
      </c>
      <c r="P112" s="6">
        <v>5</v>
      </c>
      <c r="Q112" s="4" t="s">
        <v>26</v>
      </c>
      <c r="R112" s="4">
        <v>0</v>
      </c>
      <c r="S112" s="4">
        <v>0</v>
      </c>
      <c r="T112" s="4">
        <v>67</v>
      </c>
      <c r="U112" s="4">
        <v>39</v>
      </c>
      <c r="V112" s="52">
        <f>IF(ISERROR(VLOOKUP($S$112,'TAR FIN'!$A$1:$O$85,15,0)),0,VLOOKUP($S$112,'TAR FIN'!$A$1:$O$85,15,0))</f>
        <v>0</v>
      </c>
      <c r="W112" s="52">
        <f>IF(ISERROR(VLOOKUP($T$112,'TAR FIN'!$A$1:$O$85,15,0)),0,VLOOKUP($T$112,'TAR FIN'!$A$1:$O$85,15,0))*(1-0.06)</f>
        <v>416.38239999999996</v>
      </c>
      <c r="X112" s="52">
        <f>IF(ISERROR(VLOOKUP($U$112,'TAR FIN'!$A$1:$O$85,15,0)),0,VLOOKUP($U$112,'TAR FIN'!$A$1:$O$85,15,0))*(1-0.06)</f>
        <v>174.59559999999999</v>
      </c>
      <c r="Y112" s="52"/>
      <c r="Z112" s="52">
        <f ca="1">('TUSD BE'!$AM$48+'TUSD BF'!$AM$48+'TUSD CVA'!$AM$48)*1*(1-0.03)</f>
        <v>503.68262467907113</v>
      </c>
      <c r="AA112" s="52">
        <f>('TE BE'!$AB$39+'TE BF'!$AB$39+'TE CVA'!$AB$39)*1*(1-0.03)</f>
        <v>161.76059321393376</v>
      </c>
      <c r="AB112" s="52">
        <f>(SUBSIDIO!$J$112*SUBSIDIO!$V$112)*(0.06)/(1-0.06)</f>
        <v>0</v>
      </c>
      <c r="AC112" s="52">
        <f>((SUBSIDIO!$L$112*SUBSIDIO!$W$112)+(SUBSIDIO!$N$112*SUBSIDIO!$X$112))*(0.06)/(1-0.06)</f>
        <v>132.51738599999999</v>
      </c>
      <c r="AD112" s="52">
        <f>(SUBSIDIO!$J$112*SUBSIDIO!$Y$112)*(0.03)/(1-0.03)</f>
        <v>0</v>
      </c>
      <c r="AE112" s="52">
        <f ca="1">((SUBSIDIO!$L$112*SUBSIDIO!$Z$112)+(SUBSIDIO!$N$112*SUBSIDIO!$AA$112))*(0.03)/(1-0.03)</f>
        <v>72.300062612106998</v>
      </c>
      <c r="AF112" s="4" t="s">
        <v>698</v>
      </c>
    </row>
    <row r="113" spans="1:32" ht="11.25" customHeight="1" x14ac:dyDescent="0.3">
      <c r="A113" s="4" t="s">
        <v>21</v>
      </c>
      <c r="B113" s="4" t="s">
        <v>35</v>
      </c>
      <c r="C113" s="4" t="s">
        <v>23</v>
      </c>
      <c r="D113" s="4" t="s">
        <v>50</v>
      </c>
      <c r="E113" s="4" t="s">
        <v>51</v>
      </c>
      <c r="F113" s="4" t="s">
        <v>25</v>
      </c>
      <c r="G113" s="4" t="s">
        <v>25</v>
      </c>
      <c r="H113" s="4" t="s">
        <v>25</v>
      </c>
      <c r="I113" s="5">
        <v>44682</v>
      </c>
      <c r="J113" s="6">
        <v>0</v>
      </c>
      <c r="K113" s="52">
        <v>0</v>
      </c>
      <c r="L113" s="6">
        <v>4.3680000000000003</v>
      </c>
      <c r="M113" s="52">
        <v>4.3680000000000003</v>
      </c>
      <c r="N113" s="6">
        <v>4.3680000000000003</v>
      </c>
      <c r="O113" s="52">
        <v>4.3680000000000003</v>
      </c>
      <c r="P113" s="6">
        <v>5</v>
      </c>
      <c r="Q113" s="4" t="s">
        <v>26</v>
      </c>
      <c r="R113" s="4">
        <v>0</v>
      </c>
      <c r="S113" s="4">
        <v>0</v>
      </c>
      <c r="T113" s="4">
        <v>67</v>
      </c>
      <c r="U113" s="4">
        <v>39</v>
      </c>
      <c r="V113" s="52">
        <f>IF(ISERROR(VLOOKUP($S$113,'TAR FIN'!$A$1:$O$85,15,0)),0,VLOOKUP($S$113,'TAR FIN'!$A$1:$O$85,15,0))</f>
        <v>0</v>
      </c>
      <c r="W113" s="52">
        <f>IF(ISERROR(VLOOKUP($T$113,'TAR FIN'!$A$1:$O$85,15,0)),0,VLOOKUP($T$113,'TAR FIN'!$A$1:$O$85,15,0))*(1-0.06)</f>
        <v>416.38239999999996</v>
      </c>
      <c r="X113" s="52">
        <f>IF(ISERROR(VLOOKUP($U$113,'TAR FIN'!$A$1:$O$85,15,0)),0,VLOOKUP($U$113,'TAR FIN'!$A$1:$O$85,15,0))*(1-0.06)</f>
        <v>174.59559999999999</v>
      </c>
      <c r="Y113" s="52"/>
      <c r="Z113" s="52">
        <f ca="1">('TUSD BE'!$AM$48+'TUSD BF'!$AM$48+'TUSD CVA'!$AM$48)*1*(1-0.03)</f>
        <v>503.68262467907113</v>
      </c>
      <c r="AA113" s="52">
        <f>('TE BE'!$AB$39+'TE BF'!$AB$39+'TE CVA'!$AB$39)*1*(1-0.03)</f>
        <v>161.76059321393376</v>
      </c>
      <c r="AB113" s="52">
        <f>(SUBSIDIO!$J$113*SUBSIDIO!$V$113)*(0.06)/(1-0.06)</f>
        <v>0</v>
      </c>
      <c r="AC113" s="52">
        <f>((SUBSIDIO!$L$113*SUBSIDIO!$W$113)+(SUBSIDIO!$N$113*SUBSIDIO!$X$113))*(0.06)/(1-0.06)</f>
        <v>164.76969600000001</v>
      </c>
      <c r="AD113" s="52">
        <f>(SUBSIDIO!$J$113*SUBSIDIO!$Y$113)*(0.03)/(1-0.03)</f>
        <v>0</v>
      </c>
      <c r="AE113" s="52">
        <f ca="1">((SUBSIDIO!$L$113*SUBSIDIO!$Z$113)+(SUBSIDIO!$N$113*SUBSIDIO!$AA$113))*(0.03)/(1-0.03)</f>
        <v>89.896576569793169</v>
      </c>
      <c r="AF113" s="4" t="s">
        <v>698</v>
      </c>
    </row>
    <row r="114" spans="1:32" ht="11.25" customHeight="1" x14ac:dyDescent="0.3">
      <c r="A114" s="4" t="s">
        <v>21</v>
      </c>
      <c r="B114" s="4" t="s">
        <v>35</v>
      </c>
      <c r="C114" s="4" t="s">
        <v>23</v>
      </c>
      <c r="D114" s="4" t="s">
        <v>50</v>
      </c>
      <c r="E114" s="4" t="s">
        <v>51</v>
      </c>
      <c r="F114" s="4" t="s">
        <v>25</v>
      </c>
      <c r="G114" s="4" t="s">
        <v>25</v>
      </c>
      <c r="H114" s="4" t="s">
        <v>25</v>
      </c>
      <c r="I114" s="5">
        <v>44713</v>
      </c>
      <c r="J114" s="6">
        <v>0</v>
      </c>
      <c r="K114" s="52">
        <v>0</v>
      </c>
      <c r="L114" s="6">
        <v>3.9340000000000002</v>
      </c>
      <c r="M114" s="52">
        <v>3.9340000000000002</v>
      </c>
      <c r="N114" s="6">
        <v>3.9340000000000002</v>
      </c>
      <c r="O114" s="52">
        <v>3.9340000000000002</v>
      </c>
      <c r="P114" s="6">
        <v>5</v>
      </c>
      <c r="Q114" s="4" t="s">
        <v>26</v>
      </c>
      <c r="R114" s="4">
        <v>0</v>
      </c>
      <c r="S114" s="4">
        <v>0</v>
      </c>
      <c r="T114" s="4">
        <v>67</v>
      </c>
      <c r="U114" s="4">
        <v>39</v>
      </c>
      <c r="V114" s="52">
        <f>IF(ISERROR(VLOOKUP($S$114,'TAR FIN'!$A$1:$O$85,15,0)),0,VLOOKUP($S$114,'TAR FIN'!$A$1:$O$85,15,0))</f>
        <v>0</v>
      </c>
      <c r="W114" s="52">
        <f>IF(ISERROR(VLOOKUP($T$114,'TAR FIN'!$A$1:$O$85,15,0)),0,VLOOKUP($T$114,'TAR FIN'!$A$1:$O$85,15,0))*(1-0.06)</f>
        <v>416.38239999999996</v>
      </c>
      <c r="X114" s="52">
        <f>IF(ISERROR(VLOOKUP($U$114,'TAR FIN'!$A$1:$O$85,15,0)),0,VLOOKUP($U$114,'TAR FIN'!$A$1:$O$85,15,0))*(1-0.06)</f>
        <v>174.59559999999999</v>
      </c>
      <c r="Y114" s="52"/>
      <c r="Z114" s="52">
        <f ca="1">('TUSD BE'!$AM$48+'TUSD BF'!$AM$48+'TUSD CVA'!$AM$48)*1*(1-0.03)</f>
        <v>503.68262467907113</v>
      </c>
      <c r="AA114" s="52">
        <f>('TE BE'!$AB$39+'TE BF'!$AB$39+'TE CVA'!$AB$39)*1*(1-0.03)</f>
        <v>161.76059321393376</v>
      </c>
      <c r="AB114" s="52">
        <f>(SUBSIDIO!$J$114*SUBSIDIO!$V$114)*(0.06)/(1-0.06)</f>
        <v>0</v>
      </c>
      <c r="AC114" s="52">
        <f>((SUBSIDIO!$L$114*SUBSIDIO!$W$114)+(SUBSIDIO!$N$114*SUBSIDIO!$X$114))*(0.06)/(1-0.06)</f>
        <v>148.398348</v>
      </c>
      <c r="AD114" s="52">
        <f>(SUBSIDIO!$J$114*SUBSIDIO!$Y$114)*(0.03)/(1-0.03)</f>
        <v>0</v>
      </c>
      <c r="AE114" s="52">
        <f ca="1">((SUBSIDIO!$L$114*SUBSIDIO!$Z$114)+(SUBSIDIO!$N$114*SUBSIDIO!$AA$114))*(0.03)/(1-0.03)</f>
        <v>80.964544923435511</v>
      </c>
      <c r="AF114" s="4" t="s">
        <v>698</v>
      </c>
    </row>
    <row r="115" spans="1:32" ht="11.25" customHeight="1" x14ac:dyDescent="0.3">
      <c r="A115" s="4" t="s">
        <v>21</v>
      </c>
      <c r="B115" s="4" t="s">
        <v>35</v>
      </c>
      <c r="C115" s="4" t="s">
        <v>23</v>
      </c>
      <c r="D115" s="4" t="s">
        <v>50</v>
      </c>
      <c r="E115" s="4" t="s">
        <v>51</v>
      </c>
      <c r="F115" s="4" t="s">
        <v>25</v>
      </c>
      <c r="G115" s="4" t="s">
        <v>25</v>
      </c>
      <c r="H115" s="4" t="s">
        <v>25</v>
      </c>
      <c r="I115" s="5">
        <v>44743</v>
      </c>
      <c r="J115" s="6">
        <v>0</v>
      </c>
      <c r="K115" s="52">
        <v>0</v>
      </c>
      <c r="L115" s="6">
        <v>3.6429999999999998</v>
      </c>
      <c r="M115" s="52">
        <v>3.6429999999999998</v>
      </c>
      <c r="N115" s="6">
        <v>3.6429999999999998</v>
      </c>
      <c r="O115" s="52">
        <v>3.6429999999999998</v>
      </c>
      <c r="P115" s="6">
        <v>5</v>
      </c>
      <c r="Q115" s="4" t="s">
        <v>26</v>
      </c>
      <c r="R115" s="4">
        <v>0</v>
      </c>
      <c r="S115" s="4">
        <v>0</v>
      </c>
      <c r="T115" s="4">
        <v>67</v>
      </c>
      <c r="U115" s="4">
        <v>39</v>
      </c>
      <c r="V115" s="52">
        <f>IF(ISERROR(VLOOKUP($S$115,'TAR FIN'!$A$1:$O$85,15,0)),0,VLOOKUP($S$115,'TAR FIN'!$A$1:$O$85,15,0))</f>
        <v>0</v>
      </c>
      <c r="W115" s="52">
        <f>IF(ISERROR(VLOOKUP($T$115,'TAR FIN'!$A$1:$O$85,15,0)),0,VLOOKUP($T$115,'TAR FIN'!$A$1:$O$85,15,0))*(1-0.06)</f>
        <v>416.38239999999996</v>
      </c>
      <c r="X115" s="52">
        <f>IF(ISERROR(VLOOKUP($U$115,'TAR FIN'!$A$1:$O$85,15,0)),0,VLOOKUP($U$115,'TAR FIN'!$A$1:$O$85,15,0))*(1-0.06)</f>
        <v>174.59559999999999</v>
      </c>
      <c r="Y115" s="52"/>
      <c r="Z115" s="52">
        <f ca="1">('TUSD BE'!$AM$48+'TUSD BF'!$AM$48+'TUSD CVA'!$AM$48)*1*(1-0.03)</f>
        <v>503.68262467907113</v>
      </c>
      <c r="AA115" s="52">
        <f>('TE BE'!$AB$39+'TE BF'!$AB$39+'TE CVA'!$AB$39)*1*(1-0.03)</f>
        <v>161.76059321393376</v>
      </c>
      <c r="AB115" s="52">
        <f>(SUBSIDIO!$J$115*SUBSIDIO!$V$115)*(0.06)/(1-0.06)</f>
        <v>0</v>
      </c>
      <c r="AC115" s="52">
        <f>((SUBSIDIO!$L$115*SUBSIDIO!$W$115)+(SUBSIDIO!$N$115*SUBSIDIO!$X$115))*(0.06)/(1-0.06)</f>
        <v>137.42124599999997</v>
      </c>
      <c r="AD115" s="52">
        <f>(SUBSIDIO!$J$115*SUBSIDIO!$Y$115)*(0.03)/(1-0.03)</f>
        <v>0</v>
      </c>
      <c r="AE115" s="52">
        <f ca="1">((SUBSIDIO!$L$115*SUBSIDIO!$Z$115)+(SUBSIDIO!$N$115*SUBSIDIO!$AA$115))*(0.03)/(1-0.03)</f>
        <v>74.97555596239846</v>
      </c>
      <c r="AF115" s="4" t="s">
        <v>698</v>
      </c>
    </row>
    <row r="116" spans="1:32" ht="11.25" customHeight="1" x14ac:dyDescent="0.3">
      <c r="A116" s="4" t="s">
        <v>21</v>
      </c>
      <c r="B116" s="4" t="s">
        <v>35</v>
      </c>
      <c r="C116" s="4" t="s">
        <v>23</v>
      </c>
      <c r="D116" s="4" t="s">
        <v>50</v>
      </c>
      <c r="E116" s="4" t="s">
        <v>51</v>
      </c>
      <c r="F116" s="4" t="s">
        <v>25</v>
      </c>
      <c r="G116" s="4" t="s">
        <v>25</v>
      </c>
      <c r="H116" s="4" t="s">
        <v>25</v>
      </c>
      <c r="I116" s="5">
        <v>44774</v>
      </c>
      <c r="J116" s="6">
        <v>0</v>
      </c>
      <c r="K116" s="52">
        <v>0</v>
      </c>
      <c r="L116" s="6">
        <v>3.62</v>
      </c>
      <c r="M116" s="52">
        <v>3.62</v>
      </c>
      <c r="N116" s="6">
        <v>3.62</v>
      </c>
      <c r="O116" s="52">
        <v>3.62</v>
      </c>
      <c r="P116" s="6">
        <v>5</v>
      </c>
      <c r="Q116" s="4" t="s">
        <v>26</v>
      </c>
      <c r="R116" s="4">
        <v>0</v>
      </c>
      <c r="S116" s="4">
        <v>0</v>
      </c>
      <c r="T116" s="4">
        <v>67</v>
      </c>
      <c r="U116" s="4">
        <v>39</v>
      </c>
      <c r="V116" s="52">
        <f>IF(ISERROR(VLOOKUP($S$116,'TAR FIN'!$A$1:$O$85,15,0)),0,VLOOKUP($S$116,'TAR FIN'!$A$1:$O$85,15,0))</f>
        <v>0</v>
      </c>
      <c r="W116" s="52">
        <f>IF(ISERROR(VLOOKUP($T$116,'TAR FIN'!$A$1:$O$85,15,0)),0,VLOOKUP($T$116,'TAR FIN'!$A$1:$O$85,15,0))*(1-0.06)</f>
        <v>416.38239999999996</v>
      </c>
      <c r="X116" s="52">
        <f>IF(ISERROR(VLOOKUP($U$116,'TAR FIN'!$A$1:$O$85,15,0)),0,VLOOKUP($U$116,'TAR FIN'!$A$1:$O$85,15,0))*(1-0.06)</f>
        <v>174.59559999999999</v>
      </c>
      <c r="Y116" s="52"/>
      <c r="Z116" s="52">
        <f ca="1">('TUSD BE'!$AM$48+'TUSD BF'!$AM$48+'TUSD CVA'!$AM$48)*1*(1-0.03)</f>
        <v>503.68262467907113</v>
      </c>
      <c r="AA116" s="52">
        <f>('TE BE'!$AB$39+'TE BF'!$AB$39+'TE CVA'!$AB$39)*1*(1-0.03)</f>
        <v>161.76059321393376</v>
      </c>
      <c r="AB116" s="52">
        <f>(SUBSIDIO!$J$116*SUBSIDIO!$V$116)*(0.06)/(1-0.06)</f>
        <v>0</v>
      </c>
      <c r="AC116" s="52">
        <f>((SUBSIDIO!$L$116*SUBSIDIO!$W$116)+(SUBSIDIO!$N$116*SUBSIDIO!$X$116))*(0.06)/(1-0.06)</f>
        <v>136.55363999999997</v>
      </c>
      <c r="AD116" s="52">
        <f>(SUBSIDIO!$J$116*SUBSIDIO!$Y$116)*(0.03)/(1-0.03)</f>
        <v>0</v>
      </c>
      <c r="AE116" s="52">
        <f ca="1">((SUBSIDIO!$L$116*SUBSIDIO!$Z$116)+(SUBSIDIO!$N$116*SUBSIDIO!$AA$116))*(0.03)/(1-0.03)</f>
        <v>74.502199446577663</v>
      </c>
      <c r="AF116" s="4" t="s">
        <v>698</v>
      </c>
    </row>
    <row r="117" spans="1:32" ht="11.25" customHeight="1" x14ac:dyDescent="0.3"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2" ht="11.25" customHeight="1" x14ac:dyDescent="0.3"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2" ht="11.25" customHeight="1" x14ac:dyDescent="0.3"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2" ht="11.25" customHeight="1" x14ac:dyDescent="0.3"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2" ht="11.25" customHeight="1" x14ac:dyDescent="0.3"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2" ht="11.25" customHeight="1" x14ac:dyDescent="0.3"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2" ht="11.25" customHeight="1" x14ac:dyDescent="0.3"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2" ht="11.25" customHeight="1" x14ac:dyDescent="0.3"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2" ht="11.25" customHeight="1" x14ac:dyDescent="0.3"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2" ht="11.25" customHeight="1" x14ac:dyDescent="0.3"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2" ht="11.25" customHeight="1" x14ac:dyDescent="0.3"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2" ht="11.25" customHeight="1" x14ac:dyDescent="0.3"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22:31" ht="11.25" customHeight="1" x14ac:dyDescent="0.3"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22:31" ht="11.25" customHeight="1" x14ac:dyDescent="0.3"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22:31" ht="11.25" customHeight="1" x14ac:dyDescent="0.3"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22:31" ht="11.25" customHeight="1" x14ac:dyDescent="0.3"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22:31" ht="11.25" customHeight="1" x14ac:dyDescent="0.3"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22:31" ht="11.25" customHeight="1" x14ac:dyDescent="0.3"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22:31" ht="11.25" customHeight="1" x14ac:dyDescent="0.3"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22:31" ht="11.25" customHeight="1" x14ac:dyDescent="0.3"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22:31" ht="11.25" customHeight="1" x14ac:dyDescent="0.3"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22:31" ht="11.25" customHeight="1" x14ac:dyDescent="0.3"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22:31" ht="11.25" customHeight="1" x14ac:dyDescent="0.3"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22:31" ht="11.25" customHeight="1" x14ac:dyDescent="0.3"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22:31" ht="11.25" customHeight="1" x14ac:dyDescent="0.3"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22:31" ht="11.25" customHeight="1" x14ac:dyDescent="0.3"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22:31" ht="11.25" customHeight="1" x14ac:dyDescent="0.3"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22:31" ht="11.25" customHeight="1" x14ac:dyDescent="0.3"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22:31" ht="11.25" customHeight="1" x14ac:dyDescent="0.3"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22:31" ht="11.25" customHeight="1" x14ac:dyDescent="0.3"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22:31" ht="11.25" customHeight="1" x14ac:dyDescent="0.3"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22:31" ht="11.25" customHeight="1" x14ac:dyDescent="0.3"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22:31" ht="11.25" customHeight="1" x14ac:dyDescent="0.3"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22:31" ht="11.25" customHeight="1" x14ac:dyDescent="0.3"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22:31" ht="11.25" customHeight="1" x14ac:dyDescent="0.3"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22:31" ht="11.25" customHeight="1" x14ac:dyDescent="0.3"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22:31" ht="11.25" customHeight="1" x14ac:dyDescent="0.3"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22:31" ht="11.25" customHeight="1" x14ac:dyDescent="0.3"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22:31" ht="11.25" customHeight="1" x14ac:dyDescent="0.3"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22:31" ht="11.25" customHeight="1" x14ac:dyDescent="0.3"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22:31" ht="11.25" customHeight="1" x14ac:dyDescent="0.3"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22:31" ht="11.25" customHeight="1" x14ac:dyDescent="0.3"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22:31" ht="11.25" customHeight="1" x14ac:dyDescent="0.3"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22:31" ht="11.25" customHeight="1" x14ac:dyDescent="0.3"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2:31" ht="11.25" customHeight="1" x14ac:dyDescent="0.3"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2:31" ht="11.25" customHeight="1" x14ac:dyDescent="0.3"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2:31" ht="11.25" customHeight="1" x14ac:dyDescent="0.3"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2:31" ht="11.25" customHeight="1" x14ac:dyDescent="0.3"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2:31" ht="11.25" customHeight="1" x14ac:dyDescent="0.3"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22:31" ht="11.25" customHeight="1" x14ac:dyDescent="0.3"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22:31" ht="11.25" customHeight="1" x14ac:dyDescent="0.3"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22:31" ht="11.25" customHeight="1" x14ac:dyDescent="0.3"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22:31" ht="11.25" customHeight="1" x14ac:dyDescent="0.3"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22:31" ht="11.25" customHeight="1" x14ac:dyDescent="0.3"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22:31" ht="11.25" customHeight="1" x14ac:dyDescent="0.3"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22:31" ht="11.25" customHeight="1" x14ac:dyDescent="0.3"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22:31" ht="11.25" customHeight="1" x14ac:dyDescent="0.3"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22:31" ht="11.25" customHeight="1" x14ac:dyDescent="0.3"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22:31" ht="11.25" customHeight="1" x14ac:dyDescent="0.3"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22:31" ht="11.25" customHeight="1" x14ac:dyDescent="0.3"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22:31" ht="11.25" customHeight="1" x14ac:dyDescent="0.3"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22:31" ht="11.25" customHeight="1" x14ac:dyDescent="0.3"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22:31" ht="11.25" customHeight="1" x14ac:dyDescent="0.3"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22:31" ht="11.25" customHeight="1" x14ac:dyDescent="0.3"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22:31" ht="11.25" customHeight="1" x14ac:dyDescent="0.3"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22:31" ht="11.25" customHeight="1" x14ac:dyDescent="0.3"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22:31" ht="11.25" customHeight="1" x14ac:dyDescent="0.3"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22:31" ht="11.25" customHeight="1" x14ac:dyDescent="0.3"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22:31" ht="11.25" customHeight="1" x14ac:dyDescent="0.3"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22:31" ht="11.25" customHeight="1" x14ac:dyDescent="0.3"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22:31" ht="11.25" customHeight="1" x14ac:dyDescent="0.3"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2:31" ht="11.25" customHeight="1" x14ac:dyDescent="0.3"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2:31" ht="11.25" customHeight="1" x14ac:dyDescent="0.3"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2:31" ht="11.25" customHeight="1" x14ac:dyDescent="0.3"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2:31" ht="11.25" customHeight="1" x14ac:dyDescent="0.3"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2:31" ht="11.25" customHeight="1" x14ac:dyDescent="0.3"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2:31" ht="11.25" customHeight="1" x14ac:dyDescent="0.3"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2:31" ht="11.25" customHeight="1" x14ac:dyDescent="0.3"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2:31" ht="11.25" customHeight="1" x14ac:dyDescent="0.3"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2:31" ht="11.25" customHeight="1" x14ac:dyDescent="0.3"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2:31" ht="11.25" customHeight="1" x14ac:dyDescent="0.3"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2:31" ht="11.25" customHeight="1" x14ac:dyDescent="0.3"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2:31" ht="11.25" customHeight="1" x14ac:dyDescent="0.3"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2:31" ht="11.25" customHeight="1" x14ac:dyDescent="0.3"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2:31" ht="11.25" customHeight="1" x14ac:dyDescent="0.3"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2:31" ht="11.25" customHeight="1" x14ac:dyDescent="0.3"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2:31" ht="11.25" customHeight="1" x14ac:dyDescent="0.3"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2:31" ht="11.25" customHeight="1" x14ac:dyDescent="0.3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2:31" ht="11.25" customHeight="1" x14ac:dyDescent="0.3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2:31" ht="11.25" customHeight="1" x14ac:dyDescent="0.3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2:31" ht="11.25" customHeight="1" x14ac:dyDescent="0.3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2:31" ht="11.25" customHeight="1" x14ac:dyDescent="0.3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3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3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3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3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3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3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3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3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3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3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3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3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3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3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3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3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3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3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3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3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3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3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3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3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3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3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3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3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3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3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3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3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3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3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3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3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3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3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3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3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3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3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3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3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3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3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3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3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3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3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3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3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3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3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3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3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3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3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3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3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3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3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3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3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3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3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3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3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3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3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3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3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3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3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3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3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3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3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3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3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3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3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3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3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3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3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3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3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3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3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3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3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3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3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3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3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3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3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3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3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3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3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3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3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3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3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3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3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3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3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3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3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3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3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3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3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3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3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3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3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3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3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3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3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3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3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3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3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3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3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3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3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3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3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3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3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3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3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3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3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3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3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3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3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3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3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3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3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3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3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3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3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3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3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3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3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3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3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3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3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3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3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3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3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3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3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3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3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3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3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3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3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2:31" ht="11.25" customHeight="1" x14ac:dyDescent="0.3"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2:31" ht="11.25" customHeight="1" x14ac:dyDescent="0.3"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2:31" ht="11.25" customHeight="1" x14ac:dyDescent="0.3"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2:31" ht="11.25" customHeight="1" x14ac:dyDescent="0.3"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2:31" ht="11.25" customHeight="1" x14ac:dyDescent="0.3"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2:31" ht="11.25" customHeight="1" x14ac:dyDescent="0.3"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2:31" ht="11.25" customHeight="1" x14ac:dyDescent="0.3"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2:31" ht="11.25" customHeight="1" x14ac:dyDescent="0.3"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2:31" ht="11.25" customHeight="1" x14ac:dyDescent="0.3"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22:31" ht="11.25" customHeight="1" x14ac:dyDescent="0.3"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22:31" ht="11.25" customHeight="1" x14ac:dyDescent="0.3"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22:31" ht="11.25" customHeight="1" x14ac:dyDescent="0.3"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22:31" ht="11.25" customHeight="1" x14ac:dyDescent="0.3"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22:31" ht="11.25" customHeight="1" x14ac:dyDescent="0.3"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22:31" ht="11.25" customHeight="1" x14ac:dyDescent="0.3"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22:31" ht="11.25" customHeight="1" x14ac:dyDescent="0.3"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22:31" ht="11.25" customHeight="1" x14ac:dyDescent="0.3"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22:31" ht="11.25" customHeight="1" x14ac:dyDescent="0.3"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22:31" ht="11.25" customHeight="1" x14ac:dyDescent="0.3"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22:31" ht="11.25" customHeight="1" x14ac:dyDescent="0.3"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22:31" ht="11.25" customHeight="1" x14ac:dyDescent="0.3"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22:31" ht="11.25" customHeight="1" x14ac:dyDescent="0.3"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22:31" ht="11.25" customHeight="1" x14ac:dyDescent="0.3"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22:31" ht="11.25" customHeight="1" x14ac:dyDescent="0.3"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22:31" ht="11.25" customHeight="1" x14ac:dyDescent="0.3"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22:31" ht="11.25" customHeight="1" x14ac:dyDescent="0.3"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22:31" ht="11.25" customHeight="1" x14ac:dyDescent="0.3"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22:31" ht="11.25" customHeight="1" x14ac:dyDescent="0.3"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22:31" ht="11.25" customHeight="1" x14ac:dyDescent="0.3"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22:31" ht="11.25" customHeight="1" x14ac:dyDescent="0.3"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22:31" ht="11.25" customHeight="1" x14ac:dyDescent="0.3"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22:31" ht="11.25" customHeight="1" x14ac:dyDescent="0.3"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22:31" ht="11.25" customHeight="1" x14ac:dyDescent="0.3"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22:31" ht="11.25" customHeight="1" x14ac:dyDescent="0.3"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22:31" ht="11.25" customHeight="1" x14ac:dyDescent="0.3"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22:31" ht="11.25" customHeight="1" x14ac:dyDescent="0.3"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22:31" ht="11.25" customHeight="1" x14ac:dyDescent="0.3"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22:31" ht="11.25" customHeight="1" x14ac:dyDescent="0.3"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22:31" ht="11.25" customHeight="1" x14ac:dyDescent="0.3"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276C-5601-4019-868D-9280201BA64C}">
  <dimension ref="A1:J429"/>
  <sheetViews>
    <sheetView showGridLines="0" workbookViewId="0"/>
  </sheetViews>
  <sheetFormatPr defaultRowHeight="11.25" customHeight="1" x14ac:dyDescent="0.2"/>
  <cols>
    <col min="1" max="1" width="32.33203125" style="14" bestFit="1" customWidth="1"/>
    <col min="2" max="2" width="23.21875" style="39" bestFit="1" customWidth="1"/>
    <col min="3" max="3" width="24.21875" style="39" bestFit="1" customWidth="1"/>
    <col min="4" max="4" width="24.44140625" style="39" bestFit="1" customWidth="1"/>
    <col min="5" max="5" width="25.5546875" style="39" bestFit="1" customWidth="1"/>
    <col min="6" max="6" width="22.44140625" style="39" bestFit="1" customWidth="1"/>
    <col min="7" max="7" width="23.44140625" style="39" bestFit="1" customWidth="1"/>
    <col min="8" max="8" width="17.109375" style="40" bestFit="1" customWidth="1"/>
    <col min="9" max="9" width="15" style="40" bestFit="1" customWidth="1"/>
    <col min="10" max="10" width="12.6640625" style="40" bestFit="1" customWidth="1"/>
    <col min="11" max="16384" width="8.88671875" style="14"/>
  </cols>
  <sheetData>
    <row r="1" spans="1:10" ht="11.25" customHeight="1" x14ac:dyDescent="0.2">
      <c r="A1" s="38" t="s">
        <v>681</v>
      </c>
      <c r="B1" s="39" t="s">
        <v>682</v>
      </c>
      <c r="C1" s="39" t="s">
        <v>683</v>
      </c>
      <c r="D1" s="39" t="s">
        <v>684</v>
      </c>
      <c r="E1" s="39" t="s">
        <v>685</v>
      </c>
      <c r="F1" s="39" t="s">
        <v>686</v>
      </c>
      <c r="G1" s="39" t="s">
        <v>687</v>
      </c>
      <c r="H1" s="40" t="s">
        <v>688</v>
      </c>
      <c r="I1" s="40" t="s">
        <v>689</v>
      </c>
      <c r="J1" s="40" t="s">
        <v>690</v>
      </c>
    </row>
    <row r="2" spans="1:10" ht="11.25" customHeight="1" x14ac:dyDescent="0.2">
      <c r="A2" s="41" t="s">
        <v>26</v>
      </c>
      <c r="B2" s="39">
        <v>1308642.4599999997</v>
      </c>
      <c r="C2" s="39">
        <v>1585639.1411766298</v>
      </c>
      <c r="D2" s="39">
        <v>17940764.444373682</v>
      </c>
      <c r="E2" s="39">
        <v>22806965.750035986</v>
      </c>
      <c r="F2" s="39">
        <v>8818077.1676573027</v>
      </c>
      <c r="G2" s="39">
        <v>8111284.0963386213</v>
      </c>
      <c r="H2" s="40">
        <v>0.26718734828501844</v>
      </c>
      <c r="I2" s="40">
        <v>-8.0152742812348299E-2</v>
      </c>
      <c r="J2" s="40">
        <v>0.15806208009720035</v>
      </c>
    </row>
    <row r="3" spans="1:10" ht="11.25" customHeight="1" x14ac:dyDescent="0.2">
      <c r="A3" s="42" t="s">
        <v>37</v>
      </c>
      <c r="B3" s="39">
        <v>1308642.4599999997</v>
      </c>
      <c r="C3" s="39">
        <v>1585639.1411766298</v>
      </c>
      <c r="D3" s="39">
        <v>939805.00946000009</v>
      </c>
      <c r="E3" s="39">
        <v>1269520.9963006913</v>
      </c>
      <c r="F3" s="39">
        <v>1678775.1421800007</v>
      </c>
      <c r="G3" s="39">
        <v>1507259.6927522172</v>
      </c>
      <c r="H3" s="40">
        <v>0.26983626536004102</v>
      </c>
      <c r="I3" s="40">
        <v>-0.10216701755844404</v>
      </c>
      <c r="J3" s="40">
        <v>0.11081552069384726</v>
      </c>
    </row>
    <row r="4" spans="1:10" ht="11.25" customHeight="1" x14ac:dyDescent="0.2">
      <c r="A4" s="43" t="s">
        <v>41</v>
      </c>
      <c r="B4" s="39">
        <v>777314.91</v>
      </c>
      <c r="C4" s="39">
        <v>938661.32437450346</v>
      </c>
      <c r="D4" s="39">
        <v>303508.05462000001</v>
      </c>
      <c r="E4" s="39">
        <v>428033.52673349594</v>
      </c>
      <c r="F4" s="39">
        <v>762011.16606000019</v>
      </c>
      <c r="G4" s="39">
        <v>684158.75787741761</v>
      </c>
      <c r="H4" s="40">
        <v>0.26449464514154486</v>
      </c>
      <c r="I4" s="40">
        <v>-0.10216701755844426</v>
      </c>
      <c r="J4" s="40">
        <v>0.11288019623809453</v>
      </c>
    </row>
    <row r="5" spans="1:10" ht="11.25" customHeight="1" x14ac:dyDescent="0.2">
      <c r="A5" s="44" t="s">
        <v>40</v>
      </c>
      <c r="B5" s="39">
        <v>777314.91</v>
      </c>
      <c r="C5" s="39">
        <v>938661.32437450346</v>
      </c>
      <c r="D5" s="39">
        <v>303508.05462000001</v>
      </c>
      <c r="E5" s="39">
        <v>428033.52673349594</v>
      </c>
      <c r="F5" s="39">
        <v>762011.16606000019</v>
      </c>
      <c r="G5" s="39">
        <v>684158.75787741761</v>
      </c>
      <c r="H5" s="40">
        <v>0.26449464514154486</v>
      </c>
      <c r="I5" s="40">
        <v>-0.10216701755844426</v>
      </c>
      <c r="J5" s="40">
        <v>0.11288019623809453</v>
      </c>
    </row>
    <row r="6" spans="1:10" ht="11.25" customHeight="1" x14ac:dyDescent="0.2">
      <c r="A6" s="45" t="s">
        <v>25</v>
      </c>
      <c r="B6" s="39">
        <v>777314.91</v>
      </c>
      <c r="C6" s="39">
        <v>938661.32437450346</v>
      </c>
      <c r="D6" s="39">
        <v>303508.05462000001</v>
      </c>
      <c r="E6" s="39">
        <v>428033.52673349594</v>
      </c>
      <c r="F6" s="39">
        <v>762011.16606000019</v>
      </c>
      <c r="G6" s="39">
        <v>684158.75787741761</v>
      </c>
      <c r="H6" s="40">
        <v>0.26449464514154486</v>
      </c>
      <c r="I6" s="40">
        <v>-0.10216701755844426</v>
      </c>
      <c r="J6" s="40">
        <v>0.11288019623809453</v>
      </c>
    </row>
    <row r="7" spans="1:10" ht="11.25" customHeight="1" x14ac:dyDescent="0.2">
      <c r="A7" s="46" t="s">
        <v>25</v>
      </c>
      <c r="B7" s="39">
        <v>777314.91</v>
      </c>
      <c r="C7" s="39">
        <v>938661.32437450346</v>
      </c>
      <c r="D7" s="39">
        <v>303508.05462000001</v>
      </c>
      <c r="E7" s="39">
        <v>428033.52673349594</v>
      </c>
      <c r="F7" s="39">
        <v>762011.16606000019</v>
      </c>
      <c r="G7" s="39">
        <v>684158.75787741761</v>
      </c>
      <c r="H7" s="40">
        <v>0.26449464514154486</v>
      </c>
      <c r="I7" s="40">
        <v>-0.10216701755844426</v>
      </c>
      <c r="J7" s="40">
        <v>0.11288019623809453</v>
      </c>
    </row>
    <row r="8" spans="1:10" ht="11.25" customHeight="1" x14ac:dyDescent="0.2">
      <c r="A8" s="47" t="s">
        <v>25</v>
      </c>
      <c r="B8" s="39">
        <v>777314.91</v>
      </c>
      <c r="C8" s="39">
        <v>938661.32437450346</v>
      </c>
      <c r="D8" s="39">
        <v>303508.05462000001</v>
      </c>
      <c r="E8" s="39">
        <v>428033.52673349594</v>
      </c>
      <c r="F8" s="39">
        <v>762011.16606000019</v>
      </c>
      <c r="G8" s="39">
        <v>684158.75787741761</v>
      </c>
      <c r="H8" s="40">
        <v>0.26449464514154486</v>
      </c>
      <c r="I8" s="40">
        <v>-0.10216701755844426</v>
      </c>
      <c r="J8" s="40">
        <v>0.11288019623809453</v>
      </c>
    </row>
    <row r="9" spans="1:10" ht="11.25" customHeight="1" x14ac:dyDescent="0.2">
      <c r="A9" s="48" t="s">
        <v>34</v>
      </c>
      <c r="B9" s="39">
        <v>194028.24999999997</v>
      </c>
      <c r="C9" s="39">
        <v>236260.99113990457</v>
      </c>
      <c r="D9" s="39">
        <v>276013.97946</v>
      </c>
      <c r="E9" s="39">
        <v>389258.98425967287</v>
      </c>
      <c r="F9" s="39">
        <v>692982.38098000002</v>
      </c>
      <c r="G9" s="39">
        <v>622182.43789472408</v>
      </c>
      <c r="H9" s="40">
        <v>0.3307739947497812</v>
      </c>
      <c r="I9" s="40">
        <v>-0.10216701755844393</v>
      </c>
      <c r="J9" s="40">
        <v>7.280826398184792E-2</v>
      </c>
    </row>
    <row r="10" spans="1:10" ht="11.25" customHeight="1" x14ac:dyDescent="0.2">
      <c r="A10" s="49">
        <v>44440</v>
      </c>
      <c r="B10" s="39">
        <v>16378.050000000001</v>
      </c>
      <c r="C10" s="39">
        <v>19942.942978349362</v>
      </c>
      <c r="D10" s="39">
        <v>21366.459720000003</v>
      </c>
      <c r="E10" s="39">
        <v>30132.844807730937</v>
      </c>
      <c r="F10" s="39">
        <v>53644.312360000004</v>
      </c>
      <c r="G10" s="39">
        <v>48163.632957205227</v>
      </c>
      <c r="H10" s="40">
        <v>0.32670388773247772</v>
      </c>
      <c r="I10" s="40">
        <v>-0.10216701755844404</v>
      </c>
      <c r="J10" s="40">
        <v>7.4961012817176265E-2</v>
      </c>
    </row>
    <row r="11" spans="1:10" ht="11.25" customHeight="1" x14ac:dyDescent="0.2">
      <c r="A11" s="49">
        <v>44470</v>
      </c>
      <c r="B11" s="39">
        <v>15964.910000000002</v>
      </c>
      <c r="C11" s="39">
        <v>19439.877750066677</v>
      </c>
      <c r="D11" s="39">
        <v>23221.656180000002</v>
      </c>
      <c r="E11" s="39">
        <v>32749.204642238506</v>
      </c>
      <c r="F11" s="39">
        <v>58302.114340000007</v>
      </c>
      <c r="G11" s="39">
        <v>52345.561200530814</v>
      </c>
      <c r="H11" s="40">
        <v>0.33181055345802135</v>
      </c>
      <c r="I11" s="40">
        <v>-0.10216701755844404</v>
      </c>
      <c r="J11" s="40">
        <v>7.2274678816588223E-2</v>
      </c>
    </row>
    <row r="12" spans="1:10" ht="11.25" customHeight="1" x14ac:dyDescent="0.2">
      <c r="A12" s="49">
        <v>44501</v>
      </c>
      <c r="B12" s="39">
        <v>16378.050000000001</v>
      </c>
      <c r="C12" s="39">
        <v>19942.942978349362</v>
      </c>
      <c r="D12" s="39">
        <v>24354.659880000003</v>
      </c>
      <c r="E12" s="39">
        <v>34347.065266136233</v>
      </c>
      <c r="F12" s="39">
        <v>61146.722440000005</v>
      </c>
      <c r="G12" s="39">
        <v>54899.544174831215</v>
      </c>
      <c r="H12" s="40">
        <v>0.33283565970508389</v>
      </c>
      <c r="I12" s="40">
        <v>-0.10216701755844415</v>
      </c>
      <c r="J12" s="40">
        <v>7.175265834183242E-2</v>
      </c>
    </row>
    <row r="13" spans="1:10" ht="11.25" customHeight="1" x14ac:dyDescent="0.2">
      <c r="A13" s="49">
        <v>44531</v>
      </c>
      <c r="B13" s="39">
        <v>16850.21</v>
      </c>
      <c r="C13" s="39">
        <v>20517.874667815289</v>
      </c>
      <c r="D13" s="39">
        <v>25145.58006</v>
      </c>
      <c r="E13" s="39">
        <v>35462.48987796063</v>
      </c>
      <c r="F13" s="39">
        <v>63132.468780000003</v>
      </c>
      <c r="G13" s="39">
        <v>56682.412733645819</v>
      </c>
      <c r="H13" s="40">
        <v>0.33299943793880171</v>
      </c>
      <c r="I13" s="40">
        <v>-0.10216701755844415</v>
      </c>
      <c r="J13" s="40">
        <v>7.1669772928408371E-2</v>
      </c>
    </row>
    <row r="14" spans="1:10" ht="11.25" customHeight="1" x14ac:dyDescent="0.2">
      <c r="A14" s="49">
        <v>44562</v>
      </c>
      <c r="B14" s="39">
        <v>17086.29</v>
      </c>
      <c r="C14" s="39">
        <v>20805.340512548253</v>
      </c>
      <c r="D14" s="39">
        <v>25026.84216</v>
      </c>
      <c r="E14" s="39">
        <v>35295.035336572721</v>
      </c>
      <c r="F14" s="39">
        <v>62834.356079999998</v>
      </c>
      <c r="G14" s="39">
        <v>56414.757319101111</v>
      </c>
      <c r="H14" s="40">
        <v>0.33213496531151798</v>
      </c>
      <c r="I14" s="40">
        <v>-0.10216701755844404</v>
      </c>
      <c r="J14" s="40">
        <v>7.2108871352079884E-2</v>
      </c>
    </row>
    <row r="15" spans="1:10" ht="11.25" customHeight="1" x14ac:dyDescent="0.2">
      <c r="A15" s="49">
        <v>44593</v>
      </c>
      <c r="B15" s="39">
        <v>17410.900000000001</v>
      </c>
      <c r="C15" s="39">
        <v>21200.606049056078</v>
      </c>
      <c r="D15" s="39">
        <v>23066.668079999999</v>
      </c>
      <c r="E15" s="39">
        <v>32530.626907529673</v>
      </c>
      <c r="F15" s="39">
        <v>57912.98904</v>
      </c>
      <c r="G15" s="39">
        <v>51996.191671888344</v>
      </c>
      <c r="H15" s="40">
        <v>0.32743234105347363</v>
      </c>
      <c r="I15" s="40">
        <v>-0.10216701755844404</v>
      </c>
      <c r="J15" s="40">
        <v>7.4568817610472848E-2</v>
      </c>
    </row>
    <row r="16" spans="1:10" ht="11.25" customHeight="1" x14ac:dyDescent="0.2">
      <c r="A16" s="49">
        <v>44621</v>
      </c>
      <c r="B16" s="39">
        <v>15551.77</v>
      </c>
      <c r="C16" s="39">
        <v>18936.812521783988</v>
      </c>
      <c r="D16" s="39">
        <v>22814.026379999999</v>
      </c>
      <c r="E16" s="39">
        <v>32174.329549997135</v>
      </c>
      <c r="F16" s="39">
        <v>57278.68694</v>
      </c>
      <c r="G16" s="39">
        <v>51426.694325676399</v>
      </c>
      <c r="H16" s="40">
        <v>0.33220594629505062</v>
      </c>
      <c r="I16" s="40">
        <v>-0.10216701755844404</v>
      </c>
      <c r="J16" s="40">
        <v>7.2072667844252702E-2</v>
      </c>
    </row>
    <row r="17" spans="1:10" ht="11.25" customHeight="1" x14ac:dyDescent="0.2">
      <c r="A17" s="49">
        <v>44652</v>
      </c>
      <c r="B17" s="39">
        <v>15551.77</v>
      </c>
      <c r="C17" s="39">
        <v>18936.812521783988</v>
      </c>
      <c r="D17" s="39">
        <v>21001.294440000001</v>
      </c>
      <c r="E17" s="39">
        <v>29617.85688480836</v>
      </c>
      <c r="F17" s="39">
        <v>52727.49972</v>
      </c>
      <c r="G17" s="39">
        <v>47340.488330293905</v>
      </c>
      <c r="H17" s="40">
        <v>0.32833375670300846</v>
      </c>
      <c r="I17" s="40">
        <v>-0.10216701755844404</v>
      </c>
      <c r="J17" s="40">
        <v>7.4087721545220253E-2</v>
      </c>
    </row>
    <row r="18" spans="1:10" ht="11.25" customHeight="1" x14ac:dyDescent="0.2">
      <c r="A18" s="49">
        <v>44682</v>
      </c>
      <c r="B18" s="39">
        <v>15551.77</v>
      </c>
      <c r="C18" s="39">
        <v>18936.812521783988</v>
      </c>
      <c r="D18" s="39">
        <v>22130.303220000002</v>
      </c>
      <c r="E18" s="39">
        <v>31210.083524136033</v>
      </c>
      <c r="F18" s="39">
        <v>55562.077860000005</v>
      </c>
      <c r="G18" s="39">
        <v>49885.466075693745</v>
      </c>
      <c r="H18" s="40">
        <v>0.3307891992339802</v>
      </c>
      <c r="I18" s="40">
        <v>-0.10216701755844415</v>
      </c>
      <c r="J18" s="40">
        <v>7.2800395123869155E-2</v>
      </c>
    </row>
    <row r="19" spans="1:10" ht="11.25" customHeight="1" x14ac:dyDescent="0.2">
      <c r="A19" s="49">
        <v>44713</v>
      </c>
      <c r="B19" s="39">
        <v>15640.300000000001</v>
      </c>
      <c r="C19" s="39">
        <v>19044.612213558848</v>
      </c>
      <c r="D19" s="39">
        <v>22600.594079999999</v>
      </c>
      <c r="E19" s="39">
        <v>31873.32870768927</v>
      </c>
      <c r="F19" s="39">
        <v>56742.827039999996</v>
      </c>
      <c r="G19" s="39">
        <v>50945.58163348856</v>
      </c>
      <c r="H19" s="40">
        <v>0.33150498036807718</v>
      </c>
      <c r="I19" s="40">
        <v>-0.10216701755844415</v>
      </c>
      <c r="J19" s="40">
        <v>7.2431374067193133E-2</v>
      </c>
    </row>
    <row r="20" spans="1:10" ht="11.25" customHeight="1" x14ac:dyDescent="0.2">
      <c r="A20" s="49">
        <v>44743</v>
      </c>
      <c r="B20" s="39">
        <v>16023.93</v>
      </c>
      <c r="C20" s="39">
        <v>19511.744211249916</v>
      </c>
      <c r="D20" s="39">
        <v>22203.321479999999</v>
      </c>
      <c r="E20" s="39">
        <v>31313.060242111027</v>
      </c>
      <c r="F20" s="39">
        <v>55745.40324</v>
      </c>
      <c r="G20" s="39">
        <v>50050.061648376373</v>
      </c>
      <c r="H20" s="40">
        <v>0.32954378056585676</v>
      </c>
      <c r="I20" s="40">
        <v>-0.10216701755844404</v>
      </c>
      <c r="J20" s="40">
        <v>7.3449147545135096E-2</v>
      </c>
    </row>
    <row r="21" spans="1:10" ht="11.25" customHeight="1" x14ac:dyDescent="0.2">
      <c r="A21" s="49">
        <v>44774</v>
      </c>
      <c r="B21" s="39">
        <v>15640.300000000001</v>
      </c>
      <c r="C21" s="39">
        <v>19044.612213558848</v>
      </c>
      <c r="D21" s="39">
        <v>23082.573780000002</v>
      </c>
      <c r="E21" s="39">
        <v>32553.058512762324</v>
      </c>
      <c r="F21" s="39">
        <v>57952.923140000006</v>
      </c>
      <c r="G21" s="39">
        <v>52032.045823992463</v>
      </c>
      <c r="H21" s="40">
        <v>0.33248557479147856</v>
      </c>
      <c r="I21" s="40">
        <v>-0.10216701755844415</v>
      </c>
      <c r="J21" s="40">
        <v>7.1930305742067491E-2</v>
      </c>
    </row>
    <row r="22" spans="1:10" ht="11.25" customHeight="1" x14ac:dyDescent="0.2">
      <c r="A22" s="48" t="s">
        <v>39</v>
      </c>
      <c r="B22" s="39">
        <v>583286.66</v>
      </c>
      <c r="C22" s="39">
        <v>702400.33323459898</v>
      </c>
      <c r="D22" s="39">
        <v>27494.07516</v>
      </c>
      <c r="E22" s="39">
        <v>38774.542473823079</v>
      </c>
      <c r="F22" s="39">
        <v>69028.785080000001</v>
      </c>
      <c r="G22" s="39">
        <v>61976.319982693589</v>
      </c>
      <c r="H22" s="40">
        <v>0.2134876446524856</v>
      </c>
      <c r="I22" s="40">
        <v>-0.10216701755844393</v>
      </c>
      <c r="J22" s="40">
        <v>0.18143564010043756</v>
      </c>
    </row>
    <row r="23" spans="1:10" ht="11.25" customHeight="1" x14ac:dyDescent="0.2">
      <c r="A23" s="49">
        <v>44440</v>
      </c>
      <c r="B23" s="39">
        <v>49181</v>
      </c>
      <c r="C23" s="39">
        <v>59224.31140258001</v>
      </c>
      <c r="D23" s="39">
        <v>2148.6751200000003</v>
      </c>
      <c r="E23" s="39">
        <v>3030.2490343118316</v>
      </c>
      <c r="F23" s="39">
        <v>5394.63256</v>
      </c>
      <c r="G23" s="39">
        <v>4843.4790405211261</v>
      </c>
      <c r="H23" s="40">
        <v>0.21283760887539871</v>
      </c>
      <c r="I23" s="40">
        <v>-0.10216701755844404</v>
      </c>
      <c r="J23" s="40">
        <v>0.1828798309171884</v>
      </c>
    </row>
    <row r="24" spans="1:10" ht="11.25" customHeight="1" x14ac:dyDescent="0.2">
      <c r="A24" s="49">
        <v>44470</v>
      </c>
      <c r="B24" s="39">
        <v>47660.86</v>
      </c>
      <c r="C24" s="39">
        <v>57393.741777409356</v>
      </c>
      <c r="D24" s="39">
        <v>2143.4965200000001</v>
      </c>
      <c r="E24" s="39">
        <v>3022.9457209802713</v>
      </c>
      <c r="F24" s="39">
        <v>5381.63076</v>
      </c>
      <c r="G24" s="39">
        <v>4831.8055956500175</v>
      </c>
      <c r="H24" s="40">
        <v>0.21308037529062385</v>
      </c>
      <c r="I24" s="40">
        <v>-0.10216701755844404</v>
      </c>
      <c r="J24" s="40">
        <v>0.18233805917043733</v>
      </c>
    </row>
    <row r="25" spans="1:10" ht="11.25" customHeight="1" x14ac:dyDescent="0.2">
      <c r="A25" s="49">
        <v>44501</v>
      </c>
      <c r="B25" s="39">
        <v>49628.1</v>
      </c>
      <c r="C25" s="39">
        <v>59762.714233512554</v>
      </c>
      <c r="D25" s="39">
        <v>2267.2650600000002</v>
      </c>
      <c r="E25" s="39">
        <v>3197.4949096045548</v>
      </c>
      <c r="F25" s="39">
        <v>5692.3737799999999</v>
      </c>
      <c r="G25" s="39">
        <v>5110.8009280695132</v>
      </c>
      <c r="H25" s="40">
        <v>0.21321449555898186</v>
      </c>
      <c r="I25" s="40">
        <v>-0.10216701755844404</v>
      </c>
      <c r="J25" s="40">
        <v>0.18203998702420021</v>
      </c>
    </row>
    <row r="26" spans="1:10" ht="11.25" customHeight="1" x14ac:dyDescent="0.2">
      <c r="A26" s="49">
        <v>44531</v>
      </c>
      <c r="B26" s="39">
        <v>48644.480000000003</v>
      </c>
      <c r="C26" s="39">
        <v>58578.228005460958</v>
      </c>
      <c r="D26" s="39">
        <v>2507.922</v>
      </c>
      <c r="E26" s="39">
        <v>3536.8903134269067</v>
      </c>
      <c r="F26" s="39">
        <v>6296.5860000000002</v>
      </c>
      <c r="G26" s="39">
        <v>5653.2825875797471</v>
      </c>
      <c r="H26" s="40">
        <v>0.2143147905134124</v>
      </c>
      <c r="I26" s="40">
        <v>-0.10216701755844404</v>
      </c>
      <c r="J26" s="40">
        <v>0.17962740973727165</v>
      </c>
    </row>
    <row r="27" spans="1:10" ht="11.25" customHeight="1" x14ac:dyDescent="0.2">
      <c r="A27" s="49">
        <v>44562</v>
      </c>
      <c r="B27" s="39">
        <v>51953.020000000004</v>
      </c>
      <c r="C27" s="39">
        <v>62562.408954361796</v>
      </c>
      <c r="D27" s="39">
        <v>2467.0110600000003</v>
      </c>
      <c r="E27" s="39">
        <v>3479.1941381075831</v>
      </c>
      <c r="F27" s="39">
        <v>6193.8717800000004</v>
      </c>
      <c r="G27" s="39">
        <v>5561.0623730979887</v>
      </c>
      <c r="H27" s="40">
        <v>0.21355320469509076</v>
      </c>
      <c r="I27" s="40">
        <v>-0.10216701755844415</v>
      </c>
      <c r="J27" s="40">
        <v>0.18129112481956389</v>
      </c>
    </row>
    <row r="28" spans="1:10" ht="11.25" customHeight="1" x14ac:dyDescent="0.2">
      <c r="A28" s="49">
        <v>44593</v>
      </c>
      <c r="B28" s="39">
        <v>52042.44</v>
      </c>
      <c r="C28" s="39">
        <v>62670.089520548303</v>
      </c>
      <c r="D28" s="39">
        <v>2292.7881600000001</v>
      </c>
      <c r="E28" s="39">
        <v>3233.4898110243867</v>
      </c>
      <c r="F28" s="39">
        <v>5756.4540800000004</v>
      </c>
      <c r="G28" s="39">
        <v>5168.3343349342631</v>
      </c>
      <c r="H28" s="40">
        <v>0.21290701379789123</v>
      </c>
      <c r="I28" s="40">
        <v>-0.10216701755844415</v>
      </c>
      <c r="J28" s="40">
        <v>0.18272464702607327</v>
      </c>
    </row>
    <row r="29" spans="1:10" ht="11.25" customHeight="1" x14ac:dyDescent="0.2">
      <c r="A29" s="49">
        <v>44621</v>
      </c>
      <c r="B29" s="39">
        <v>47124.340000000004</v>
      </c>
      <c r="C29" s="39">
        <v>56747.658380290304</v>
      </c>
      <c r="D29" s="39">
        <v>2460.2788800000003</v>
      </c>
      <c r="E29" s="39">
        <v>3469.6998307765552</v>
      </c>
      <c r="F29" s="39">
        <v>6176.9694400000008</v>
      </c>
      <c r="G29" s="39">
        <v>5545.8868947655474</v>
      </c>
      <c r="H29" s="40">
        <v>0.21443624194831878</v>
      </c>
      <c r="I29" s="40">
        <v>-0.10216701755844426</v>
      </c>
      <c r="J29" s="40">
        <v>0.17936463230630606</v>
      </c>
    </row>
    <row r="30" spans="1:10" ht="11.25" customHeight="1" x14ac:dyDescent="0.2">
      <c r="A30" s="49">
        <v>44652</v>
      </c>
      <c r="B30" s="39">
        <v>47124.340000000004</v>
      </c>
      <c r="C30" s="39">
        <v>56747.658380290304</v>
      </c>
      <c r="D30" s="39">
        <v>1916.0080200000002</v>
      </c>
      <c r="E30" s="39">
        <v>2702.121599629601</v>
      </c>
      <c r="F30" s="39">
        <v>4810.4802600000003</v>
      </c>
      <c r="G30" s="39">
        <v>4319.0078388120319</v>
      </c>
      <c r="H30" s="40">
        <v>0.21226260375792294</v>
      </c>
      <c r="I30" s="40">
        <v>-0.10216701755844404</v>
      </c>
      <c r="J30" s="40">
        <v>0.18417468877475796</v>
      </c>
    </row>
    <row r="31" spans="1:10" ht="11.25" customHeight="1" x14ac:dyDescent="0.2">
      <c r="A31" s="49">
        <v>44682</v>
      </c>
      <c r="B31" s="39">
        <v>47660.86</v>
      </c>
      <c r="C31" s="39">
        <v>57393.741777409356</v>
      </c>
      <c r="D31" s="39">
        <v>2153.0399400000001</v>
      </c>
      <c r="E31" s="39">
        <v>3036.4046841198606</v>
      </c>
      <c r="F31" s="39">
        <v>5405.5912200000002</v>
      </c>
      <c r="G31" s="39">
        <v>4853.318086912489</v>
      </c>
      <c r="H31" s="40">
        <v>0.21311815646468757</v>
      </c>
      <c r="I31" s="40">
        <v>-0.10216701755844415</v>
      </c>
      <c r="J31" s="40">
        <v>0.18225400446521789</v>
      </c>
    </row>
    <row r="32" spans="1:10" ht="11.25" customHeight="1" x14ac:dyDescent="0.2">
      <c r="A32" s="49">
        <v>44713</v>
      </c>
      <c r="B32" s="39">
        <v>47303.18</v>
      </c>
      <c r="C32" s="39">
        <v>56963.019512663319</v>
      </c>
      <c r="D32" s="39">
        <v>2372.0207400000004</v>
      </c>
      <c r="E32" s="39">
        <v>3345.2305049972547</v>
      </c>
      <c r="F32" s="39">
        <v>5955.381620000001</v>
      </c>
      <c r="G32" s="39">
        <v>5346.9380414622256</v>
      </c>
      <c r="H32" s="40">
        <v>0.21405146067378689</v>
      </c>
      <c r="I32" s="40">
        <v>-0.10216701755844415</v>
      </c>
      <c r="J32" s="40">
        <v>0.18019954625409018</v>
      </c>
    </row>
    <row r="33" spans="1:10" ht="11.25" customHeight="1" x14ac:dyDescent="0.2">
      <c r="A33" s="49">
        <v>44743</v>
      </c>
      <c r="B33" s="39">
        <v>47303.18</v>
      </c>
      <c r="C33" s="39">
        <v>56963.019512663319</v>
      </c>
      <c r="D33" s="39">
        <v>2164.4328600000003</v>
      </c>
      <c r="E33" s="39">
        <v>3052.4719734492928</v>
      </c>
      <c r="F33" s="39">
        <v>5434.1951800000006</v>
      </c>
      <c r="G33" s="39">
        <v>4878.9996656289286</v>
      </c>
      <c r="H33" s="40">
        <v>0.21322796909494146</v>
      </c>
      <c r="I33" s="40">
        <v>-0.10216701755844404</v>
      </c>
      <c r="J33" s="40">
        <v>0.18201009162505422</v>
      </c>
    </row>
    <row r="34" spans="1:10" ht="11.25" customHeight="1" x14ac:dyDescent="0.2">
      <c r="A34" s="49">
        <v>44774</v>
      </c>
      <c r="B34" s="39">
        <v>47660.86</v>
      </c>
      <c r="C34" s="39">
        <v>57393.741777409356</v>
      </c>
      <c r="D34" s="39">
        <v>2601.1367999999998</v>
      </c>
      <c r="E34" s="39">
        <v>3668.3499533949862</v>
      </c>
      <c r="F34" s="39">
        <v>6530.6183999999994</v>
      </c>
      <c r="G34" s="39">
        <v>5863.4045952597016</v>
      </c>
      <c r="H34" s="40">
        <v>0.2148759623255625</v>
      </c>
      <c r="I34" s="40">
        <v>-0.10216701755844404</v>
      </c>
      <c r="J34" s="40">
        <v>0.17841899145479134</v>
      </c>
    </row>
    <row r="35" spans="1:10" ht="11.25" customHeight="1" x14ac:dyDescent="0.2">
      <c r="A35" s="43" t="s">
        <v>38</v>
      </c>
      <c r="B35" s="39">
        <v>531327.55000000005</v>
      </c>
      <c r="C35" s="39">
        <v>646977.81680212636</v>
      </c>
      <c r="D35" s="39">
        <v>636296.95484000014</v>
      </c>
      <c r="E35" s="39">
        <v>841487.46956719551</v>
      </c>
      <c r="F35" s="39">
        <v>916763.97611999989</v>
      </c>
      <c r="G35" s="39">
        <v>823100.93487479875</v>
      </c>
      <c r="H35" s="40">
        <v>0.27478078800109329</v>
      </c>
      <c r="I35" s="40">
        <v>-0.10216701755844415</v>
      </c>
      <c r="J35" s="40">
        <v>0.10899011501900557</v>
      </c>
    </row>
    <row r="36" spans="1:10" ht="11.25" customHeight="1" x14ac:dyDescent="0.2">
      <c r="A36" s="44" t="s">
        <v>40</v>
      </c>
      <c r="B36" s="39">
        <v>414290.89000000007</v>
      </c>
      <c r="C36" s="39">
        <v>504466.62427575979</v>
      </c>
      <c r="D36" s="39">
        <v>553678.92674000014</v>
      </c>
      <c r="E36" s="39">
        <v>733389.05415223551</v>
      </c>
      <c r="F36" s="39">
        <v>811886.81382000004</v>
      </c>
      <c r="G36" s="39">
        <v>728938.75945698295</v>
      </c>
      <c r="H36" s="40">
        <v>0.27881640214457981</v>
      </c>
      <c r="I36" s="40">
        <v>-0.10216701755844404</v>
      </c>
      <c r="J36" s="40">
        <v>0.10502969964842679</v>
      </c>
    </row>
    <row r="37" spans="1:10" ht="11.25" customHeight="1" x14ac:dyDescent="0.2">
      <c r="A37" s="45" t="s">
        <v>25</v>
      </c>
      <c r="B37" s="39">
        <v>414290.89000000007</v>
      </c>
      <c r="C37" s="39">
        <v>504466.62427575979</v>
      </c>
      <c r="D37" s="39">
        <v>553678.92674000014</v>
      </c>
      <c r="E37" s="39">
        <v>733389.05415223551</v>
      </c>
      <c r="F37" s="39">
        <v>811886.81382000004</v>
      </c>
      <c r="G37" s="39">
        <v>728938.75945698295</v>
      </c>
      <c r="H37" s="40">
        <v>0.27881640214457981</v>
      </c>
      <c r="I37" s="40">
        <v>-0.10216701755844404</v>
      </c>
      <c r="J37" s="40">
        <v>0.10502969964842679</v>
      </c>
    </row>
    <row r="38" spans="1:10" ht="11.25" customHeight="1" x14ac:dyDescent="0.2">
      <c r="A38" s="46" t="s">
        <v>25</v>
      </c>
      <c r="B38" s="39">
        <v>414290.89000000007</v>
      </c>
      <c r="C38" s="39">
        <v>504466.62427575979</v>
      </c>
      <c r="D38" s="39">
        <v>553678.92674000014</v>
      </c>
      <c r="E38" s="39">
        <v>733389.05415223551</v>
      </c>
      <c r="F38" s="39">
        <v>811886.81382000004</v>
      </c>
      <c r="G38" s="39">
        <v>728938.75945698295</v>
      </c>
      <c r="H38" s="40">
        <v>0.27881640214457981</v>
      </c>
      <c r="I38" s="40">
        <v>-0.10216701755844404</v>
      </c>
      <c r="J38" s="40">
        <v>0.10502969964842679</v>
      </c>
    </row>
    <row r="39" spans="1:10" ht="11.25" customHeight="1" x14ac:dyDescent="0.2">
      <c r="A39" s="47" t="s">
        <v>25</v>
      </c>
      <c r="B39" s="39">
        <v>414290.89000000007</v>
      </c>
      <c r="C39" s="39">
        <v>504466.62427575979</v>
      </c>
      <c r="D39" s="39">
        <v>553678.92674000014</v>
      </c>
      <c r="E39" s="39">
        <v>733389.05415223551</v>
      </c>
      <c r="F39" s="39">
        <v>811886.81382000004</v>
      </c>
      <c r="G39" s="39">
        <v>728938.75945698295</v>
      </c>
      <c r="H39" s="40">
        <v>0.27881640214457981</v>
      </c>
      <c r="I39" s="40">
        <v>-0.10216701755844404</v>
      </c>
      <c r="J39" s="40">
        <v>0.10502969964842679</v>
      </c>
    </row>
    <row r="40" spans="1:10" ht="11.25" customHeight="1" x14ac:dyDescent="0.2">
      <c r="A40" s="48" t="s">
        <v>34</v>
      </c>
      <c r="B40" s="39">
        <v>0</v>
      </c>
      <c r="C40" s="39">
        <v>0</v>
      </c>
      <c r="D40" s="39">
        <v>315452.12562000006</v>
      </c>
      <c r="E40" s="39">
        <v>444878.09726750111</v>
      </c>
      <c r="F40" s="39">
        <v>791998.88906000007</v>
      </c>
      <c r="G40" s="39">
        <v>711082.72465513879</v>
      </c>
      <c r="H40" s="40">
        <v>0.41028720726837054</v>
      </c>
      <c r="I40" s="40">
        <v>-0.10216701755844415</v>
      </c>
      <c r="J40" s="40">
        <v>4.3803117789960933E-2</v>
      </c>
    </row>
    <row r="41" spans="1:10" ht="11.25" customHeight="1" x14ac:dyDescent="0.2">
      <c r="A41" s="49">
        <v>44440</v>
      </c>
      <c r="B41" s="39">
        <v>0</v>
      </c>
      <c r="C41" s="39">
        <v>0</v>
      </c>
      <c r="D41" s="39">
        <v>25677.348300000001</v>
      </c>
      <c r="E41" s="39">
        <v>36212.435824064247</v>
      </c>
      <c r="F41" s="39">
        <v>64467.567900000002</v>
      </c>
      <c r="G41" s="39">
        <v>57881.108758410512</v>
      </c>
      <c r="H41" s="40">
        <v>0.41028720726837076</v>
      </c>
      <c r="I41" s="40">
        <v>-0.10216701755844415</v>
      </c>
      <c r="J41" s="40">
        <v>4.3803117789960933E-2</v>
      </c>
    </row>
    <row r="42" spans="1:10" ht="11.25" customHeight="1" x14ac:dyDescent="0.2">
      <c r="A42" s="49">
        <v>44470</v>
      </c>
      <c r="B42" s="39">
        <v>0</v>
      </c>
      <c r="C42" s="39">
        <v>0</v>
      </c>
      <c r="D42" s="39">
        <v>24282.677340000002</v>
      </c>
      <c r="E42" s="39">
        <v>34245.54921082755</v>
      </c>
      <c r="F42" s="39">
        <v>60965.997420000007</v>
      </c>
      <c r="G42" s="39">
        <v>54737.283291122803</v>
      </c>
      <c r="H42" s="40">
        <v>0.41028720726837076</v>
      </c>
      <c r="I42" s="40">
        <v>-0.10216701755844415</v>
      </c>
      <c r="J42" s="40">
        <v>4.3803117789960933E-2</v>
      </c>
    </row>
    <row r="43" spans="1:10" ht="11.25" customHeight="1" x14ac:dyDescent="0.2">
      <c r="A43" s="49">
        <v>44501</v>
      </c>
      <c r="B43" s="39">
        <v>0</v>
      </c>
      <c r="C43" s="39">
        <v>0</v>
      </c>
      <c r="D43" s="39">
        <v>25237.38924</v>
      </c>
      <c r="E43" s="39">
        <v>35591.967190024428</v>
      </c>
      <c r="F43" s="39">
        <v>63362.972119999999</v>
      </c>
      <c r="G43" s="39">
        <v>56889.366234860754</v>
      </c>
      <c r="H43" s="40">
        <v>0.41028720726837076</v>
      </c>
      <c r="I43" s="40">
        <v>-0.10216701755844415</v>
      </c>
      <c r="J43" s="40">
        <v>4.3803117789960933E-2</v>
      </c>
    </row>
    <row r="44" spans="1:10" ht="11.25" customHeight="1" x14ac:dyDescent="0.2">
      <c r="A44" s="49">
        <v>44531</v>
      </c>
      <c r="B44" s="39">
        <v>0</v>
      </c>
      <c r="C44" s="39">
        <v>0</v>
      </c>
      <c r="D44" s="39">
        <v>25231.32288</v>
      </c>
      <c r="E44" s="39">
        <v>35583.411880121741</v>
      </c>
      <c r="F44" s="39">
        <v>63347.741439999998</v>
      </c>
      <c r="G44" s="39">
        <v>56875.691628011744</v>
      </c>
      <c r="H44" s="40">
        <v>0.41028720726837054</v>
      </c>
      <c r="I44" s="40">
        <v>-0.10216701755844404</v>
      </c>
      <c r="J44" s="40">
        <v>4.3803117789960933E-2</v>
      </c>
    </row>
    <row r="45" spans="1:10" ht="11.25" customHeight="1" x14ac:dyDescent="0.2">
      <c r="A45" s="49">
        <v>44562</v>
      </c>
      <c r="B45" s="39">
        <v>0</v>
      </c>
      <c r="C45" s="39">
        <v>0</v>
      </c>
      <c r="D45" s="39">
        <v>22234.467060000003</v>
      </c>
      <c r="E45" s="39">
        <v>31356.984455147984</v>
      </c>
      <c r="F45" s="39">
        <v>55823.599780000004</v>
      </c>
      <c r="G45" s="39">
        <v>50120.269081101193</v>
      </c>
      <c r="H45" s="40">
        <v>0.41028720726837076</v>
      </c>
      <c r="I45" s="40">
        <v>-0.10216701755844404</v>
      </c>
      <c r="J45" s="40">
        <v>4.3803117789960933E-2</v>
      </c>
    </row>
    <row r="46" spans="1:10" ht="11.25" customHeight="1" x14ac:dyDescent="0.2">
      <c r="A46" s="49">
        <v>44593</v>
      </c>
      <c r="B46" s="39">
        <v>0</v>
      </c>
      <c r="C46" s="39">
        <v>0</v>
      </c>
      <c r="D46" s="39">
        <v>22827.860639999999</v>
      </c>
      <c r="E46" s="39">
        <v>32193.839829897162</v>
      </c>
      <c r="F46" s="39">
        <v>57313.420319999997</v>
      </c>
      <c r="G46" s="39">
        <v>51457.879099832076</v>
      </c>
      <c r="H46" s="40">
        <v>0.41028720726837076</v>
      </c>
      <c r="I46" s="40">
        <v>-0.10216701755844404</v>
      </c>
      <c r="J46" s="40">
        <v>4.3803117789960933E-2</v>
      </c>
    </row>
    <row r="47" spans="1:10" ht="11.25" customHeight="1" x14ac:dyDescent="0.2">
      <c r="A47" s="49">
        <v>44621</v>
      </c>
      <c r="B47" s="39">
        <v>0</v>
      </c>
      <c r="C47" s="39">
        <v>0</v>
      </c>
      <c r="D47" s="39">
        <v>25250.853600000002</v>
      </c>
      <c r="E47" s="39">
        <v>35610.955804686484</v>
      </c>
      <c r="F47" s="39">
        <v>63396.7768</v>
      </c>
      <c r="G47" s="39">
        <v>56919.71719152564</v>
      </c>
      <c r="H47" s="40">
        <v>0.41028720726837054</v>
      </c>
      <c r="I47" s="40">
        <v>-0.10216701755844404</v>
      </c>
      <c r="J47" s="40">
        <v>4.3803117789960933E-2</v>
      </c>
    </row>
    <row r="48" spans="1:10" ht="11.25" customHeight="1" x14ac:dyDescent="0.2">
      <c r="A48" s="49">
        <v>44652</v>
      </c>
      <c r="B48" s="39">
        <v>0</v>
      </c>
      <c r="C48" s="39">
        <v>0</v>
      </c>
      <c r="D48" s="39">
        <v>28856.34288</v>
      </c>
      <c r="E48" s="39">
        <v>40695.731212213737</v>
      </c>
      <c r="F48" s="39">
        <v>72449.001440000007</v>
      </c>
      <c r="G48" s="39">
        <v>65047.103037787776</v>
      </c>
      <c r="H48" s="40">
        <v>0.41028720726837076</v>
      </c>
      <c r="I48" s="40">
        <v>-0.10216701755844426</v>
      </c>
      <c r="J48" s="40">
        <v>4.3803117789960933E-2</v>
      </c>
    </row>
    <row r="49" spans="1:10" ht="11.25" customHeight="1" x14ac:dyDescent="0.2">
      <c r="A49" s="49">
        <v>44682</v>
      </c>
      <c r="B49" s="39">
        <v>0</v>
      </c>
      <c r="C49" s="39">
        <v>0</v>
      </c>
      <c r="D49" s="39">
        <v>28820.018700000004</v>
      </c>
      <c r="E49" s="39">
        <v>40644.503685845222</v>
      </c>
      <c r="F49" s="39">
        <v>72357.803100000005</v>
      </c>
      <c r="G49" s="39">
        <v>64965.222160191865</v>
      </c>
      <c r="H49" s="40">
        <v>0.41028720726837054</v>
      </c>
      <c r="I49" s="40">
        <v>-0.10216701755844404</v>
      </c>
      <c r="J49" s="40">
        <v>4.3803117789961155E-2</v>
      </c>
    </row>
    <row r="50" spans="1:10" ht="11.25" customHeight="1" x14ac:dyDescent="0.2">
      <c r="A50" s="49">
        <v>44713</v>
      </c>
      <c r="B50" s="39">
        <v>0</v>
      </c>
      <c r="C50" s="39">
        <v>0</v>
      </c>
      <c r="D50" s="39">
        <v>24844.185539999999</v>
      </c>
      <c r="E50" s="39">
        <v>35037.437042063837</v>
      </c>
      <c r="F50" s="39">
        <v>62375.764020000002</v>
      </c>
      <c r="G50" s="39">
        <v>56003.018242147293</v>
      </c>
      <c r="H50" s="40">
        <v>0.41028720726837076</v>
      </c>
      <c r="I50" s="40">
        <v>-0.10216701755844415</v>
      </c>
      <c r="J50" s="40">
        <v>4.380311778996071E-2</v>
      </c>
    </row>
    <row r="51" spans="1:10" ht="11.25" customHeight="1" x14ac:dyDescent="0.2">
      <c r="A51" s="49">
        <v>44743</v>
      </c>
      <c r="B51" s="39">
        <v>0</v>
      </c>
      <c r="C51" s="39">
        <v>0</v>
      </c>
      <c r="D51" s="39">
        <v>31717.445400000004</v>
      </c>
      <c r="E51" s="39">
        <v>44730.707494853035</v>
      </c>
      <c r="F51" s="39">
        <v>79632.310200000007</v>
      </c>
      <c r="G51" s="39">
        <v>71496.514565577134</v>
      </c>
      <c r="H51" s="40">
        <v>0.41028720726837076</v>
      </c>
      <c r="I51" s="40">
        <v>-0.10216701755844415</v>
      </c>
      <c r="J51" s="40">
        <v>4.3803117789960933E-2</v>
      </c>
    </row>
    <row r="52" spans="1:10" ht="11.25" customHeight="1" x14ac:dyDescent="0.2">
      <c r="A52" s="49">
        <v>44774</v>
      </c>
      <c r="B52" s="39">
        <v>0</v>
      </c>
      <c r="C52" s="39">
        <v>0</v>
      </c>
      <c r="D52" s="39">
        <v>30472.214040000003</v>
      </c>
      <c r="E52" s="39">
        <v>42974.573637755639</v>
      </c>
      <c r="F52" s="39">
        <v>76505.93452000001</v>
      </c>
      <c r="G52" s="39">
        <v>68689.551364569998</v>
      </c>
      <c r="H52" s="40">
        <v>0.41028720726837076</v>
      </c>
      <c r="I52" s="40">
        <v>-0.10216701755844404</v>
      </c>
      <c r="J52" s="40">
        <v>4.3803117789960933E-2</v>
      </c>
    </row>
    <row r="53" spans="1:10" ht="11.25" customHeight="1" x14ac:dyDescent="0.2">
      <c r="A53" s="48" t="s">
        <v>25</v>
      </c>
      <c r="B53" s="39">
        <v>414290.89000000007</v>
      </c>
      <c r="C53" s="39">
        <v>504466.62427575979</v>
      </c>
      <c r="D53" s="39">
        <v>0</v>
      </c>
      <c r="E53" s="39">
        <v>0</v>
      </c>
      <c r="F53" s="39">
        <v>0</v>
      </c>
      <c r="G53" s="39">
        <v>0</v>
      </c>
      <c r="H53" s="40">
        <v>0.21766284620875842</v>
      </c>
      <c r="I53" s="40">
        <v>0</v>
      </c>
      <c r="J53" s="40">
        <v>0.21766284620875842</v>
      </c>
    </row>
    <row r="54" spans="1:10" ht="11.25" customHeight="1" x14ac:dyDescent="0.2">
      <c r="A54" s="49">
        <v>44440</v>
      </c>
      <c r="B54" s="39">
        <v>32697.08</v>
      </c>
      <c r="C54" s="39">
        <v>39814.01949551548</v>
      </c>
      <c r="D54" s="39">
        <v>0</v>
      </c>
      <c r="E54" s="39">
        <v>0</v>
      </c>
      <c r="F54" s="39">
        <v>0</v>
      </c>
      <c r="G54" s="39">
        <v>0</v>
      </c>
      <c r="H54" s="40">
        <v>0.21766284620875864</v>
      </c>
      <c r="I54" s="40">
        <v>0</v>
      </c>
      <c r="J54" s="40">
        <v>0.21766284620875864</v>
      </c>
    </row>
    <row r="55" spans="1:10" ht="11.25" customHeight="1" x14ac:dyDescent="0.2">
      <c r="A55" s="49">
        <v>44470</v>
      </c>
      <c r="B55" s="39">
        <v>32697.08</v>
      </c>
      <c r="C55" s="39">
        <v>39814.01949551548</v>
      </c>
      <c r="D55" s="39">
        <v>0</v>
      </c>
      <c r="E55" s="39">
        <v>0</v>
      </c>
      <c r="F55" s="39">
        <v>0</v>
      </c>
      <c r="G55" s="39">
        <v>0</v>
      </c>
      <c r="H55" s="40">
        <v>0.21766284620875864</v>
      </c>
      <c r="I55" s="40">
        <v>0</v>
      </c>
      <c r="J55" s="40">
        <v>0.21766284620875864</v>
      </c>
    </row>
    <row r="56" spans="1:10" ht="11.25" customHeight="1" x14ac:dyDescent="0.2">
      <c r="A56" s="49">
        <v>44501</v>
      </c>
      <c r="B56" s="39">
        <v>33375.810000000005</v>
      </c>
      <c r="C56" s="39">
        <v>40640.483799122754</v>
      </c>
      <c r="D56" s="39">
        <v>0</v>
      </c>
      <c r="E56" s="39">
        <v>0</v>
      </c>
      <c r="F56" s="39">
        <v>0</v>
      </c>
      <c r="G56" s="39">
        <v>0</v>
      </c>
      <c r="H56" s="40">
        <v>0.21766284620875864</v>
      </c>
      <c r="I56" s="40">
        <v>0</v>
      </c>
      <c r="J56" s="40">
        <v>0.21766284620875864</v>
      </c>
    </row>
    <row r="57" spans="1:10" ht="11.25" customHeight="1" x14ac:dyDescent="0.2">
      <c r="A57" s="49">
        <v>44531</v>
      </c>
      <c r="B57" s="39">
        <v>34762.78</v>
      </c>
      <c r="C57" s="39">
        <v>42329.345636928912</v>
      </c>
      <c r="D57" s="39">
        <v>0</v>
      </c>
      <c r="E57" s="39">
        <v>0</v>
      </c>
      <c r="F57" s="39">
        <v>0</v>
      </c>
      <c r="G57" s="39">
        <v>0</v>
      </c>
      <c r="H57" s="40">
        <v>0.21766284620875864</v>
      </c>
      <c r="I57" s="40">
        <v>0</v>
      </c>
      <c r="J57" s="40">
        <v>0.21766284620875864</v>
      </c>
    </row>
    <row r="58" spans="1:10" ht="11.25" customHeight="1" x14ac:dyDescent="0.2">
      <c r="A58" s="49">
        <v>44562</v>
      </c>
      <c r="B58" s="39">
        <v>33139.730000000003</v>
      </c>
      <c r="C58" s="39">
        <v>40353.01795438979</v>
      </c>
      <c r="D58" s="39">
        <v>0</v>
      </c>
      <c r="E58" s="39">
        <v>0</v>
      </c>
      <c r="F58" s="39">
        <v>0</v>
      </c>
      <c r="G58" s="39">
        <v>0</v>
      </c>
      <c r="H58" s="40">
        <v>0.21766284620875864</v>
      </c>
      <c r="I58" s="40">
        <v>0</v>
      </c>
      <c r="J58" s="40">
        <v>0.21766284620875864</v>
      </c>
    </row>
    <row r="59" spans="1:10" ht="11.25" customHeight="1" x14ac:dyDescent="0.2">
      <c r="A59" s="49">
        <v>44593</v>
      </c>
      <c r="B59" s="39">
        <v>33729.93</v>
      </c>
      <c r="C59" s="39">
        <v>41071.682566222196</v>
      </c>
      <c r="D59" s="39">
        <v>0</v>
      </c>
      <c r="E59" s="39">
        <v>0</v>
      </c>
      <c r="F59" s="39">
        <v>0</v>
      </c>
      <c r="G59" s="39">
        <v>0</v>
      </c>
      <c r="H59" s="40">
        <v>0.21766284620875864</v>
      </c>
      <c r="I59" s="40">
        <v>0</v>
      </c>
      <c r="J59" s="40">
        <v>0.21766284620875864</v>
      </c>
    </row>
    <row r="60" spans="1:10" ht="11.25" customHeight="1" x14ac:dyDescent="0.2">
      <c r="A60" s="49">
        <v>44621</v>
      </c>
      <c r="B60" s="39">
        <v>33110.22</v>
      </c>
      <c r="C60" s="39">
        <v>40317.084723798172</v>
      </c>
      <c r="D60" s="39">
        <v>0</v>
      </c>
      <c r="E60" s="39">
        <v>0</v>
      </c>
      <c r="F60" s="39">
        <v>0</v>
      </c>
      <c r="G60" s="39">
        <v>0</v>
      </c>
      <c r="H60" s="40">
        <v>0.21766284620875886</v>
      </c>
      <c r="I60" s="40">
        <v>0</v>
      </c>
      <c r="J60" s="40">
        <v>0.21766284620875886</v>
      </c>
    </row>
    <row r="61" spans="1:10" ht="11.25" customHeight="1" x14ac:dyDescent="0.2">
      <c r="A61" s="49">
        <v>44652</v>
      </c>
      <c r="B61" s="39">
        <v>34408.660000000003</v>
      </c>
      <c r="C61" s="39">
        <v>41898.14686982947</v>
      </c>
      <c r="D61" s="39">
        <v>0</v>
      </c>
      <c r="E61" s="39">
        <v>0</v>
      </c>
      <c r="F61" s="39">
        <v>0</v>
      </c>
      <c r="G61" s="39">
        <v>0</v>
      </c>
      <c r="H61" s="40">
        <v>0.21766284620875864</v>
      </c>
      <c r="I61" s="40">
        <v>0</v>
      </c>
      <c r="J61" s="40">
        <v>0.21766284620875864</v>
      </c>
    </row>
    <row r="62" spans="1:10" ht="11.25" customHeight="1" x14ac:dyDescent="0.2">
      <c r="A62" s="49">
        <v>44682</v>
      </c>
      <c r="B62" s="39">
        <v>39927.03</v>
      </c>
      <c r="C62" s="39">
        <v>48617.6609904625</v>
      </c>
      <c r="D62" s="39">
        <v>0</v>
      </c>
      <c r="E62" s="39">
        <v>0</v>
      </c>
      <c r="F62" s="39">
        <v>0</v>
      </c>
      <c r="G62" s="39">
        <v>0</v>
      </c>
      <c r="H62" s="40">
        <v>0.21766284620875886</v>
      </c>
      <c r="I62" s="40">
        <v>0</v>
      </c>
      <c r="J62" s="40">
        <v>0.21766284620875886</v>
      </c>
    </row>
    <row r="63" spans="1:10" ht="11.25" customHeight="1" x14ac:dyDescent="0.2">
      <c r="A63" s="49">
        <v>44713</v>
      </c>
      <c r="B63" s="39">
        <v>33877.480000000003</v>
      </c>
      <c r="C63" s="39">
        <v>41251.3487191803</v>
      </c>
      <c r="D63" s="39">
        <v>0</v>
      </c>
      <c r="E63" s="39">
        <v>0</v>
      </c>
      <c r="F63" s="39">
        <v>0</v>
      </c>
      <c r="G63" s="39">
        <v>0</v>
      </c>
      <c r="H63" s="40">
        <v>0.21766284620875864</v>
      </c>
      <c r="I63" s="40">
        <v>0</v>
      </c>
      <c r="J63" s="40">
        <v>0.21766284620875864</v>
      </c>
    </row>
    <row r="64" spans="1:10" ht="11.25" customHeight="1" x14ac:dyDescent="0.2">
      <c r="A64" s="49">
        <v>44743</v>
      </c>
      <c r="B64" s="39">
        <v>37271.130000000005</v>
      </c>
      <c r="C64" s="39">
        <v>45383.670237216655</v>
      </c>
      <c r="D64" s="39">
        <v>0</v>
      </c>
      <c r="E64" s="39">
        <v>0</v>
      </c>
      <c r="F64" s="39">
        <v>0</v>
      </c>
      <c r="G64" s="39">
        <v>0</v>
      </c>
      <c r="H64" s="40">
        <v>0.21766284620875864</v>
      </c>
      <c r="I64" s="40">
        <v>0</v>
      </c>
      <c r="J64" s="40">
        <v>0.21766284620875864</v>
      </c>
    </row>
    <row r="65" spans="1:10" ht="11.25" customHeight="1" x14ac:dyDescent="0.2">
      <c r="A65" s="49">
        <v>44774</v>
      </c>
      <c r="B65" s="39">
        <v>35293.96</v>
      </c>
      <c r="C65" s="39">
        <v>42976.143787578083</v>
      </c>
      <c r="D65" s="39">
        <v>0</v>
      </c>
      <c r="E65" s="39">
        <v>0</v>
      </c>
      <c r="F65" s="39">
        <v>0</v>
      </c>
      <c r="G65" s="39">
        <v>0</v>
      </c>
      <c r="H65" s="40">
        <v>0.21766284620875886</v>
      </c>
      <c r="I65" s="40">
        <v>0</v>
      </c>
      <c r="J65" s="40">
        <v>0.21766284620875886</v>
      </c>
    </row>
    <row r="66" spans="1:10" ht="11.25" customHeight="1" x14ac:dyDescent="0.2">
      <c r="A66" s="48" t="s">
        <v>39</v>
      </c>
      <c r="B66" s="39">
        <v>0</v>
      </c>
      <c r="C66" s="39">
        <v>0</v>
      </c>
      <c r="D66" s="39">
        <v>238226.80111999999</v>
      </c>
      <c r="E66" s="39">
        <v>288510.95688473422</v>
      </c>
      <c r="F66" s="39">
        <v>19887.924760000002</v>
      </c>
      <c r="G66" s="39">
        <v>17856.034801844064</v>
      </c>
      <c r="H66" s="40">
        <v>0.21107682061098165</v>
      </c>
      <c r="I66" s="40">
        <v>-0.10216701755844426</v>
      </c>
      <c r="J66" s="40">
        <v>0.18694115820811863</v>
      </c>
    </row>
    <row r="67" spans="1:10" ht="11.25" customHeight="1" x14ac:dyDescent="0.2">
      <c r="A67" s="49">
        <v>44440</v>
      </c>
      <c r="B67" s="39">
        <v>0</v>
      </c>
      <c r="C67" s="39">
        <v>0</v>
      </c>
      <c r="D67" s="39">
        <v>31077.12384</v>
      </c>
      <c r="E67" s="39">
        <v>37636.78433388094</v>
      </c>
      <c r="F67" s="39">
        <v>2594.4163200000003</v>
      </c>
      <c r="G67" s="39">
        <v>2329.352542280646</v>
      </c>
      <c r="H67" s="40">
        <v>0.21107682061098165</v>
      </c>
      <c r="I67" s="40">
        <v>-0.10216701755844415</v>
      </c>
      <c r="J67" s="40">
        <v>0.18694115820811863</v>
      </c>
    </row>
    <row r="68" spans="1:10" ht="11.25" customHeight="1" x14ac:dyDescent="0.2">
      <c r="A68" s="49">
        <v>44470</v>
      </c>
      <c r="B68" s="39">
        <v>0</v>
      </c>
      <c r="C68" s="39">
        <v>0</v>
      </c>
      <c r="D68" s="39">
        <v>14303.753520000002</v>
      </c>
      <c r="E68" s="39">
        <v>17322.944335804739</v>
      </c>
      <c r="F68" s="39">
        <v>1194.12246</v>
      </c>
      <c r="G68" s="39">
        <v>1072.1225296622476</v>
      </c>
      <c r="H68" s="40">
        <v>0.21107682061098165</v>
      </c>
      <c r="I68" s="40">
        <v>-0.10216701755844404</v>
      </c>
      <c r="J68" s="40">
        <v>0.18694115820811863</v>
      </c>
    </row>
    <row r="69" spans="1:10" ht="11.25" customHeight="1" x14ac:dyDescent="0.2">
      <c r="A69" s="49">
        <v>44501</v>
      </c>
      <c r="B69" s="39">
        <v>0</v>
      </c>
      <c r="C69" s="39">
        <v>0</v>
      </c>
      <c r="D69" s="39">
        <v>27906.669839999999</v>
      </c>
      <c r="E69" s="39">
        <v>33797.12098366757</v>
      </c>
      <c r="F69" s="39">
        <v>2329.7368200000001</v>
      </c>
      <c r="G69" s="39">
        <v>2091.7145574045062</v>
      </c>
      <c r="H69" s="40">
        <v>0.21107682061098165</v>
      </c>
      <c r="I69" s="40">
        <v>-0.10216701755844415</v>
      </c>
      <c r="J69" s="40">
        <v>0.18694115820811885</v>
      </c>
    </row>
    <row r="70" spans="1:10" ht="11.25" customHeight="1" x14ac:dyDescent="0.2">
      <c r="A70" s="49">
        <v>44531</v>
      </c>
      <c r="B70" s="39">
        <v>0</v>
      </c>
      <c r="C70" s="39">
        <v>0</v>
      </c>
      <c r="D70" s="39">
        <v>20482.245279999999</v>
      </c>
      <c r="E70" s="39">
        <v>24805.572492676685</v>
      </c>
      <c r="F70" s="39">
        <v>1709.9224400000001</v>
      </c>
      <c r="G70" s="39">
        <v>1535.2247640489425</v>
      </c>
      <c r="H70" s="40">
        <v>0.21107682061098165</v>
      </c>
      <c r="I70" s="40">
        <v>-0.10216701755844415</v>
      </c>
      <c r="J70" s="40">
        <v>0.18694115820811907</v>
      </c>
    </row>
    <row r="71" spans="1:10" ht="11.25" customHeight="1" x14ac:dyDescent="0.2">
      <c r="A71" s="49">
        <v>44562</v>
      </c>
      <c r="B71" s="39">
        <v>0</v>
      </c>
      <c r="C71" s="39">
        <v>0</v>
      </c>
      <c r="D71" s="39">
        <v>15247.102640000001</v>
      </c>
      <c r="E71" s="39">
        <v>18465.412588780502</v>
      </c>
      <c r="F71" s="39">
        <v>1272.8762200000001</v>
      </c>
      <c r="G71" s="39">
        <v>1142.8302528815341</v>
      </c>
      <c r="H71" s="40">
        <v>0.21107682061098143</v>
      </c>
      <c r="I71" s="40">
        <v>-0.10216701755844415</v>
      </c>
      <c r="J71" s="40">
        <v>0.18694115820811841</v>
      </c>
    </row>
    <row r="72" spans="1:10" ht="11.25" customHeight="1" x14ac:dyDescent="0.2">
      <c r="A72" s="49">
        <v>44593</v>
      </c>
      <c r="B72" s="39">
        <v>0</v>
      </c>
      <c r="C72" s="39">
        <v>0</v>
      </c>
      <c r="D72" s="39">
        <v>18297.413120000001</v>
      </c>
      <c r="E72" s="39">
        <v>22159.572906775262</v>
      </c>
      <c r="F72" s="39">
        <v>1527.5257600000002</v>
      </c>
      <c r="G72" s="39">
        <v>1371.4630088571043</v>
      </c>
      <c r="H72" s="40">
        <v>0.21107682061098165</v>
      </c>
      <c r="I72" s="40">
        <v>-0.10216701755844426</v>
      </c>
      <c r="J72" s="40">
        <v>0.18694115820811863</v>
      </c>
    </row>
    <row r="73" spans="1:10" ht="11.25" customHeight="1" x14ac:dyDescent="0.2">
      <c r="A73" s="49">
        <v>44621</v>
      </c>
      <c r="B73" s="39">
        <v>0</v>
      </c>
      <c r="C73" s="39">
        <v>0</v>
      </c>
      <c r="D73" s="39">
        <v>14764.303680000001</v>
      </c>
      <c r="E73" s="39">
        <v>17880.705959309416</v>
      </c>
      <c r="F73" s="39">
        <v>1232.5706400000001</v>
      </c>
      <c r="G73" s="39">
        <v>1106.6425737810973</v>
      </c>
      <c r="H73" s="40">
        <v>0.21107682061098165</v>
      </c>
      <c r="I73" s="40">
        <v>-0.10216701755844415</v>
      </c>
      <c r="J73" s="40">
        <v>0.18694115820811885</v>
      </c>
    </row>
    <row r="74" spans="1:10" ht="11.25" customHeight="1" x14ac:dyDescent="0.2">
      <c r="A74" s="49">
        <v>44652</v>
      </c>
      <c r="B74" s="39">
        <v>0</v>
      </c>
      <c r="C74" s="39">
        <v>0</v>
      </c>
      <c r="D74" s="39">
        <v>18041.551920000002</v>
      </c>
      <c r="E74" s="39">
        <v>21849.705338161551</v>
      </c>
      <c r="F74" s="39">
        <v>1506.1656600000001</v>
      </c>
      <c r="G74" s="39">
        <v>1352.2852065688546</v>
      </c>
      <c r="H74" s="40">
        <v>0.21107682061098143</v>
      </c>
      <c r="I74" s="40">
        <v>-0.10216701755844404</v>
      </c>
      <c r="J74" s="40">
        <v>0.18694115820811863</v>
      </c>
    </row>
    <row r="75" spans="1:10" ht="11.25" customHeight="1" x14ac:dyDescent="0.2">
      <c r="A75" s="49">
        <v>44682</v>
      </c>
      <c r="B75" s="39">
        <v>0</v>
      </c>
      <c r="C75" s="39">
        <v>0</v>
      </c>
      <c r="D75" s="39">
        <v>12192.342400000001</v>
      </c>
      <c r="E75" s="39">
        <v>14765.863269592463</v>
      </c>
      <c r="F75" s="39">
        <v>1017.8552000000001</v>
      </c>
      <c r="G75" s="39">
        <v>913.86396990964647</v>
      </c>
      <c r="H75" s="40">
        <v>0.21107682061098121</v>
      </c>
      <c r="I75" s="40">
        <v>-0.10216701755844404</v>
      </c>
      <c r="J75" s="40">
        <v>0.18694115820811841</v>
      </c>
    </row>
    <row r="76" spans="1:10" ht="11.25" customHeight="1" x14ac:dyDescent="0.2">
      <c r="A76" s="49">
        <v>44713</v>
      </c>
      <c r="B76" s="39">
        <v>0</v>
      </c>
      <c r="C76" s="39">
        <v>0</v>
      </c>
      <c r="D76" s="39">
        <v>12190.117520000002</v>
      </c>
      <c r="E76" s="39">
        <v>14763.168768995825</v>
      </c>
      <c r="F76" s="39">
        <v>1017.6694600000001</v>
      </c>
      <c r="G76" s="39">
        <v>913.69720641148774</v>
      </c>
      <c r="H76" s="40">
        <v>0.21107682061098165</v>
      </c>
      <c r="I76" s="40">
        <v>-0.10216701755844415</v>
      </c>
      <c r="J76" s="40">
        <v>0.18694115820811885</v>
      </c>
    </row>
    <row r="77" spans="1:10" ht="11.25" customHeight="1" x14ac:dyDescent="0.2">
      <c r="A77" s="49">
        <v>44743</v>
      </c>
      <c r="B77" s="39">
        <v>0</v>
      </c>
      <c r="C77" s="39">
        <v>0</v>
      </c>
      <c r="D77" s="39">
        <v>35764.946000000004</v>
      </c>
      <c r="E77" s="39">
        <v>43314.097091003445</v>
      </c>
      <c r="F77" s="39">
        <v>2985.7705000000001</v>
      </c>
      <c r="G77" s="39">
        <v>2680.7232329010158</v>
      </c>
      <c r="H77" s="40">
        <v>0.21107682061098143</v>
      </c>
      <c r="I77" s="40">
        <v>-0.10216701755844404</v>
      </c>
      <c r="J77" s="40">
        <v>0.18694115820811863</v>
      </c>
    </row>
    <row r="78" spans="1:10" ht="11.25" customHeight="1" x14ac:dyDescent="0.2">
      <c r="A78" s="49">
        <v>44774</v>
      </c>
      <c r="B78" s="39">
        <v>0</v>
      </c>
      <c r="C78" s="39">
        <v>0</v>
      </c>
      <c r="D78" s="39">
        <v>17959.231359999998</v>
      </c>
      <c r="E78" s="39">
        <v>21750.008816085832</v>
      </c>
      <c r="F78" s="39">
        <v>1499.2932799999999</v>
      </c>
      <c r="G78" s="39">
        <v>1346.1149571369826</v>
      </c>
      <c r="H78" s="40">
        <v>0.21107682061098165</v>
      </c>
      <c r="I78" s="40">
        <v>-0.10216701755844415</v>
      </c>
      <c r="J78" s="40">
        <v>0.18694115820811885</v>
      </c>
    </row>
    <row r="79" spans="1:10" ht="11.25" customHeight="1" x14ac:dyDescent="0.2">
      <c r="A79" s="44" t="s">
        <v>36</v>
      </c>
      <c r="B79" s="39">
        <v>117036.66000000002</v>
      </c>
      <c r="C79" s="39">
        <v>142511.19252636677</v>
      </c>
      <c r="D79" s="39">
        <v>82618.02810000001</v>
      </c>
      <c r="E79" s="39">
        <v>108098.41541495989</v>
      </c>
      <c r="F79" s="39">
        <v>104877.16230000001</v>
      </c>
      <c r="G79" s="39">
        <v>94162.175417816135</v>
      </c>
      <c r="H79" s="40">
        <v>0.2552152435098598</v>
      </c>
      <c r="I79" s="40">
        <v>-0.10216701755844393</v>
      </c>
      <c r="J79" s="40">
        <v>0.13213702575375263</v>
      </c>
    </row>
    <row r="80" spans="1:10" ht="11.25" customHeight="1" x14ac:dyDescent="0.2">
      <c r="A80" s="45" t="s">
        <v>25</v>
      </c>
      <c r="B80" s="39">
        <v>117036.66000000002</v>
      </c>
      <c r="C80" s="39">
        <v>142511.19252636677</v>
      </c>
      <c r="D80" s="39">
        <v>82618.02810000001</v>
      </c>
      <c r="E80" s="39">
        <v>108098.41541495989</v>
      </c>
      <c r="F80" s="39">
        <v>104877.16230000001</v>
      </c>
      <c r="G80" s="39">
        <v>94162.175417816135</v>
      </c>
      <c r="H80" s="40">
        <v>0.2552152435098598</v>
      </c>
      <c r="I80" s="40">
        <v>-0.10216701755844393</v>
      </c>
      <c r="J80" s="40">
        <v>0.13213702575375263</v>
      </c>
    </row>
    <row r="81" spans="1:10" ht="11.25" customHeight="1" x14ac:dyDescent="0.2">
      <c r="A81" s="46" t="s">
        <v>25</v>
      </c>
      <c r="B81" s="39">
        <v>117036.66000000002</v>
      </c>
      <c r="C81" s="39">
        <v>142511.19252636677</v>
      </c>
      <c r="D81" s="39">
        <v>82618.02810000001</v>
      </c>
      <c r="E81" s="39">
        <v>108098.41541495989</v>
      </c>
      <c r="F81" s="39">
        <v>104877.16230000001</v>
      </c>
      <c r="G81" s="39">
        <v>94162.175417816135</v>
      </c>
      <c r="H81" s="40">
        <v>0.2552152435098598</v>
      </c>
      <c r="I81" s="40">
        <v>-0.10216701755844393</v>
      </c>
      <c r="J81" s="40">
        <v>0.13213702575375263</v>
      </c>
    </row>
    <row r="82" spans="1:10" ht="11.25" customHeight="1" x14ac:dyDescent="0.2">
      <c r="A82" s="47" t="s">
        <v>25</v>
      </c>
      <c r="B82" s="39">
        <v>117036.66000000002</v>
      </c>
      <c r="C82" s="39">
        <v>142511.19252636677</v>
      </c>
      <c r="D82" s="39">
        <v>82618.02810000001</v>
      </c>
      <c r="E82" s="39">
        <v>108098.41541495989</v>
      </c>
      <c r="F82" s="39">
        <v>104877.16230000001</v>
      </c>
      <c r="G82" s="39">
        <v>94162.175417816135</v>
      </c>
      <c r="H82" s="40">
        <v>0.2552152435098598</v>
      </c>
      <c r="I82" s="40">
        <v>-0.10216701755844393</v>
      </c>
      <c r="J82" s="40">
        <v>0.13213702575375263</v>
      </c>
    </row>
    <row r="83" spans="1:10" ht="11.25" customHeight="1" x14ac:dyDescent="0.2">
      <c r="A83" s="48" t="s">
        <v>34</v>
      </c>
      <c r="B83" s="39">
        <v>0</v>
      </c>
      <c r="C83" s="39">
        <v>0</v>
      </c>
      <c r="D83" s="39">
        <v>40367.556900000011</v>
      </c>
      <c r="E83" s="39">
        <v>56929.849084748043</v>
      </c>
      <c r="F83" s="39">
        <v>101349.95970000001</v>
      </c>
      <c r="G83" s="39">
        <v>90995.336587782513</v>
      </c>
      <c r="H83" s="40">
        <v>0.41028720726837031</v>
      </c>
      <c r="I83" s="40">
        <v>-0.10216701755844404</v>
      </c>
      <c r="J83" s="40">
        <v>4.380311778996071E-2</v>
      </c>
    </row>
    <row r="84" spans="1:10" ht="11.25" customHeight="1" x14ac:dyDescent="0.2">
      <c r="A84" s="49">
        <v>44440</v>
      </c>
      <c r="B84" s="39">
        <v>0</v>
      </c>
      <c r="C84" s="39">
        <v>0</v>
      </c>
      <c r="D84" s="39">
        <v>4190.6710800000001</v>
      </c>
      <c r="E84" s="39">
        <v>5910.0498139935271</v>
      </c>
      <c r="F84" s="39">
        <v>10521.428040000001</v>
      </c>
      <c r="G84" s="39">
        <v>9446.4851166974149</v>
      </c>
      <c r="H84" s="40">
        <v>0.41028720726837076</v>
      </c>
      <c r="I84" s="40">
        <v>-0.10216701755844404</v>
      </c>
      <c r="J84" s="40">
        <v>4.3803117789960933E-2</v>
      </c>
    </row>
    <row r="85" spans="1:10" ht="11.25" customHeight="1" x14ac:dyDescent="0.2">
      <c r="A85" s="49">
        <v>44470</v>
      </c>
      <c r="B85" s="39">
        <v>0</v>
      </c>
      <c r="C85" s="39">
        <v>0</v>
      </c>
      <c r="D85" s="39">
        <v>3182.4716400000002</v>
      </c>
      <c r="E85" s="39">
        <v>4488.1990413863923</v>
      </c>
      <c r="F85" s="39">
        <v>7990.1633200000006</v>
      </c>
      <c r="G85" s="39">
        <v>7173.8321637907247</v>
      </c>
      <c r="H85" s="40">
        <v>0.41028720726837076</v>
      </c>
      <c r="I85" s="40">
        <v>-0.10216701755844404</v>
      </c>
      <c r="J85" s="40">
        <v>4.3803117789960933E-2</v>
      </c>
    </row>
    <row r="86" spans="1:10" ht="11.25" customHeight="1" x14ac:dyDescent="0.2">
      <c r="A86" s="49">
        <v>44501</v>
      </c>
      <c r="B86" s="39">
        <v>0</v>
      </c>
      <c r="C86" s="39">
        <v>0</v>
      </c>
      <c r="D86" s="39">
        <v>4277.6715600000007</v>
      </c>
      <c r="E86" s="39">
        <v>6032.7454779637355</v>
      </c>
      <c r="F86" s="39">
        <v>10739.85828</v>
      </c>
      <c r="G86" s="39">
        <v>9642.5989905320403</v>
      </c>
      <c r="H86" s="40">
        <v>0.41028720726837076</v>
      </c>
      <c r="I86" s="40">
        <v>-0.10216701755844404</v>
      </c>
      <c r="J86" s="40">
        <v>4.3803117789960933E-2</v>
      </c>
    </row>
    <row r="87" spans="1:10" ht="11.25" customHeight="1" x14ac:dyDescent="0.2">
      <c r="A87" s="49">
        <v>44531</v>
      </c>
      <c r="B87" s="39">
        <v>0</v>
      </c>
      <c r="C87" s="39">
        <v>0</v>
      </c>
      <c r="D87" s="39">
        <v>2757.4565400000006</v>
      </c>
      <c r="E87" s="39">
        <v>3888.8056829605048</v>
      </c>
      <c r="F87" s="39">
        <v>6923.0870200000008</v>
      </c>
      <c r="G87" s="39">
        <v>6215.7758668690249</v>
      </c>
      <c r="H87" s="40">
        <v>0.41028720726837054</v>
      </c>
      <c r="I87" s="40">
        <v>-0.10216701755844404</v>
      </c>
      <c r="J87" s="40">
        <v>4.3803117789960933E-2</v>
      </c>
    </row>
    <row r="88" spans="1:10" ht="11.25" customHeight="1" x14ac:dyDescent="0.2">
      <c r="A88" s="49">
        <v>44562</v>
      </c>
      <c r="B88" s="39">
        <v>0</v>
      </c>
      <c r="C88" s="39">
        <v>0</v>
      </c>
      <c r="D88" s="39">
        <v>4029.9125400000003</v>
      </c>
      <c r="E88" s="39">
        <v>5683.3341015723863</v>
      </c>
      <c r="F88" s="39">
        <v>10117.81502</v>
      </c>
      <c r="G88" s="39">
        <v>9084.1080351985711</v>
      </c>
      <c r="H88" s="40">
        <v>0.41028720726837054</v>
      </c>
      <c r="I88" s="40">
        <v>-0.10216701755844404</v>
      </c>
      <c r="J88" s="40">
        <v>4.3803117789961155E-2</v>
      </c>
    </row>
    <row r="89" spans="1:10" ht="11.25" customHeight="1" x14ac:dyDescent="0.2">
      <c r="A89" s="49">
        <v>44593</v>
      </c>
      <c r="B89" s="39">
        <v>0</v>
      </c>
      <c r="C89" s="39">
        <v>0</v>
      </c>
      <c r="D89" s="39">
        <v>2989.7537400000001</v>
      </c>
      <c r="E89" s="39">
        <v>4216.4114524047664</v>
      </c>
      <c r="F89" s="39">
        <v>7506.3106200000002</v>
      </c>
      <c r="G89" s="39">
        <v>6739.4132510873242</v>
      </c>
      <c r="H89" s="40">
        <v>0.41028720726837054</v>
      </c>
      <c r="I89" s="40">
        <v>-0.10216701755844415</v>
      </c>
      <c r="J89" s="40">
        <v>4.380311778996071E-2</v>
      </c>
    </row>
    <row r="90" spans="1:10" ht="11.25" customHeight="1" x14ac:dyDescent="0.2">
      <c r="A90" s="49">
        <v>44621</v>
      </c>
      <c r="B90" s="39">
        <v>0</v>
      </c>
      <c r="C90" s="39">
        <v>0</v>
      </c>
      <c r="D90" s="39">
        <v>3423.5724600000003</v>
      </c>
      <c r="E90" s="39">
        <v>4828.220443494306</v>
      </c>
      <c r="F90" s="39">
        <v>8595.4899800000003</v>
      </c>
      <c r="G90" s="39">
        <v>7717.3144042899103</v>
      </c>
      <c r="H90" s="40">
        <v>0.41028720726837054</v>
      </c>
      <c r="I90" s="40">
        <v>-0.10216701755844404</v>
      </c>
      <c r="J90" s="40">
        <v>4.3803117789960933E-2</v>
      </c>
    </row>
    <row r="91" spans="1:10" ht="11.25" customHeight="1" x14ac:dyDescent="0.2">
      <c r="A91" s="49">
        <v>44652</v>
      </c>
      <c r="B91" s="39">
        <v>0</v>
      </c>
      <c r="C91" s="39">
        <v>0</v>
      </c>
      <c r="D91" s="39">
        <v>2926.7227800000001</v>
      </c>
      <c r="E91" s="39">
        <v>4127.5196958549222</v>
      </c>
      <c r="F91" s="39">
        <v>7348.0601400000005</v>
      </c>
      <c r="G91" s="39">
        <v>6597.3307506561168</v>
      </c>
      <c r="H91" s="40">
        <v>0.41028720726837076</v>
      </c>
      <c r="I91" s="40">
        <v>-0.10216701755844415</v>
      </c>
      <c r="J91" s="40">
        <v>4.380311778996071E-2</v>
      </c>
    </row>
    <row r="92" spans="1:10" ht="11.25" customHeight="1" x14ac:dyDescent="0.2">
      <c r="A92" s="49">
        <v>44682</v>
      </c>
      <c r="B92" s="39">
        <v>0</v>
      </c>
      <c r="C92" s="39">
        <v>0</v>
      </c>
      <c r="D92" s="39">
        <v>3763.8064800000002</v>
      </c>
      <c r="E92" s="39">
        <v>5308.0481293777966</v>
      </c>
      <c r="F92" s="39">
        <v>9449.7082399999999</v>
      </c>
      <c r="G92" s="39">
        <v>8484.2597323217469</v>
      </c>
      <c r="H92" s="40">
        <v>0.41028720726837054</v>
      </c>
      <c r="I92" s="40">
        <v>-0.10216701755844404</v>
      </c>
      <c r="J92" s="40">
        <v>4.3803117789961155E-2</v>
      </c>
    </row>
    <row r="93" spans="1:10" ht="11.25" customHeight="1" x14ac:dyDescent="0.2">
      <c r="A93" s="49">
        <v>44713</v>
      </c>
      <c r="B93" s="39">
        <v>0</v>
      </c>
      <c r="C93" s="39">
        <v>0</v>
      </c>
      <c r="D93" s="39">
        <v>2152.5960600000003</v>
      </c>
      <c r="E93" s="39">
        <v>3035.7786858342984</v>
      </c>
      <c r="F93" s="39">
        <v>5404.4767800000009</v>
      </c>
      <c r="G93" s="39">
        <v>4852.3175059235373</v>
      </c>
      <c r="H93" s="40">
        <v>0.41028720726837054</v>
      </c>
      <c r="I93" s="40">
        <v>-0.10216701755844415</v>
      </c>
      <c r="J93" s="40">
        <v>4.3803117789960933E-2</v>
      </c>
    </row>
    <row r="94" spans="1:10" ht="11.25" customHeight="1" x14ac:dyDescent="0.2">
      <c r="A94" s="49">
        <v>44743</v>
      </c>
      <c r="B94" s="39">
        <v>0</v>
      </c>
      <c r="C94" s="39">
        <v>0</v>
      </c>
      <c r="D94" s="39">
        <v>3125.9509200000002</v>
      </c>
      <c r="E94" s="39">
        <v>4408.4885930247938</v>
      </c>
      <c r="F94" s="39">
        <v>7848.2579599999999</v>
      </c>
      <c r="G94" s="39">
        <v>7046.4248511974811</v>
      </c>
      <c r="H94" s="40">
        <v>0.41028720726837054</v>
      </c>
      <c r="I94" s="40">
        <v>-0.10216701755844415</v>
      </c>
      <c r="J94" s="40">
        <v>4.3803117789960933E-2</v>
      </c>
    </row>
    <row r="95" spans="1:10" ht="11.25" customHeight="1" x14ac:dyDescent="0.2">
      <c r="A95" s="49">
        <v>44774</v>
      </c>
      <c r="B95" s="39">
        <v>0</v>
      </c>
      <c r="C95" s="39">
        <v>0</v>
      </c>
      <c r="D95" s="39">
        <v>3546.9711000000002</v>
      </c>
      <c r="E95" s="39">
        <v>5002.2479668806209</v>
      </c>
      <c r="F95" s="39">
        <v>8905.3042999999998</v>
      </c>
      <c r="G95" s="39">
        <v>7995.4759192186129</v>
      </c>
      <c r="H95" s="40">
        <v>0.41028720726837054</v>
      </c>
      <c r="I95" s="40">
        <v>-0.10216701755844404</v>
      </c>
      <c r="J95" s="40">
        <v>4.3803117789960933E-2</v>
      </c>
    </row>
    <row r="96" spans="1:10" ht="11.25" customHeight="1" x14ac:dyDescent="0.2">
      <c r="A96" s="48" t="s">
        <v>25</v>
      </c>
      <c r="B96" s="39">
        <v>117036.66000000002</v>
      </c>
      <c r="C96" s="39">
        <v>142511.19252636677</v>
      </c>
      <c r="D96" s="39">
        <v>0</v>
      </c>
      <c r="E96" s="39">
        <v>0</v>
      </c>
      <c r="F96" s="39">
        <v>0</v>
      </c>
      <c r="G96" s="39">
        <v>0</v>
      </c>
      <c r="H96" s="40">
        <v>0.21766284620875842</v>
      </c>
      <c r="I96" s="40">
        <v>0</v>
      </c>
      <c r="J96" s="40">
        <v>0.21766284620875842</v>
      </c>
    </row>
    <row r="97" spans="1:10" ht="11.25" customHeight="1" x14ac:dyDescent="0.2">
      <c r="A97" s="49">
        <v>44440</v>
      </c>
      <c r="B97" s="39">
        <v>9708.7900000000009</v>
      </c>
      <c r="C97" s="39">
        <v>11822.032864643135</v>
      </c>
      <c r="D97" s="39">
        <v>0</v>
      </c>
      <c r="E97" s="39">
        <v>0</v>
      </c>
      <c r="F97" s="39">
        <v>0</v>
      </c>
      <c r="G97" s="39">
        <v>0</v>
      </c>
      <c r="H97" s="40">
        <v>0.21766284620875864</v>
      </c>
      <c r="I97" s="40">
        <v>0</v>
      </c>
      <c r="J97" s="40">
        <v>0.21766284620875864</v>
      </c>
    </row>
    <row r="98" spans="1:10" ht="11.25" customHeight="1" x14ac:dyDescent="0.2">
      <c r="A98" s="49">
        <v>44470</v>
      </c>
      <c r="B98" s="39">
        <v>9443.2000000000007</v>
      </c>
      <c r="C98" s="39">
        <v>11498.633789318552</v>
      </c>
      <c r="D98" s="39">
        <v>0</v>
      </c>
      <c r="E98" s="39">
        <v>0</v>
      </c>
      <c r="F98" s="39">
        <v>0</v>
      </c>
      <c r="G98" s="39">
        <v>0</v>
      </c>
      <c r="H98" s="40">
        <v>0.21766284620875886</v>
      </c>
      <c r="I98" s="40">
        <v>0</v>
      </c>
      <c r="J98" s="40">
        <v>0.21766284620875886</v>
      </c>
    </row>
    <row r="99" spans="1:10" ht="11.25" customHeight="1" x14ac:dyDescent="0.2">
      <c r="A99" s="49">
        <v>44501</v>
      </c>
      <c r="B99" s="39">
        <v>10062.91</v>
      </c>
      <c r="C99" s="39">
        <v>12253.231631742581</v>
      </c>
      <c r="D99" s="39">
        <v>0</v>
      </c>
      <c r="E99" s="39">
        <v>0</v>
      </c>
      <c r="F99" s="39">
        <v>0</v>
      </c>
      <c r="G99" s="39">
        <v>0</v>
      </c>
      <c r="H99" s="40">
        <v>0.21766284620875886</v>
      </c>
      <c r="I99" s="40">
        <v>0</v>
      </c>
      <c r="J99" s="40">
        <v>0.21766284620875886</v>
      </c>
    </row>
    <row r="100" spans="1:10" ht="11.25" customHeight="1" x14ac:dyDescent="0.2">
      <c r="A100" s="49">
        <v>44531</v>
      </c>
      <c r="B100" s="39">
        <v>9944.8700000000008</v>
      </c>
      <c r="C100" s="39">
        <v>12109.498709376099</v>
      </c>
      <c r="D100" s="39">
        <v>0</v>
      </c>
      <c r="E100" s="39">
        <v>0</v>
      </c>
      <c r="F100" s="39">
        <v>0</v>
      </c>
      <c r="G100" s="39">
        <v>0</v>
      </c>
      <c r="H100" s="40">
        <v>0.21766284620875864</v>
      </c>
      <c r="I100" s="40">
        <v>0</v>
      </c>
      <c r="J100" s="40">
        <v>0.21766284620875864</v>
      </c>
    </row>
    <row r="101" spans="1:10" ht="11.25" customHeight="1" x14ac:dyDescent="0.2">
      <c r="A101" s="49">
        <v>44562</v>
      </c>
      <c r="B101" s="39">
        <v>10298.99</v>
      </c>
      <c r="C101" s="39">
        <v>12540.697476475545</v>
      </c>
      <c r="D101" s="39">
        <v>0</v>
      </c>
      <c r="E101" s="39">
        <v>0</v>
      </c>
      <c r="F101" s="39">
        <v>0</v>
      </c>
      <c r="G101" s="39">
        <v>0</v>
      </c>
      <c r="H101" s="40">
        <v>0.21766284620875886</v>
      </c>
      <c r="I101" s="40">
        <v>0</v>
      </c>
      <c r="J101" s="40">
        <v>0.21766284620875886</v>
      </c>
    </row>
    <row r="102" spans="1:10" ht="11.25" customHeight="1" x14ac:dyDescent="0.2">
      <c r="A102" s="49">
        <v>44593</v>
      </c>
      <c r="B102" s="39">
        <v>9767.8100000000013</v>
      </c>
      <c r="C102" s="39">
        <v>11893.899325826376</v>
      </c>
      <c r="D102" s="39">
        <v>0</v>
      </c>
      <c r="E102" s="39">
        <v>0</v>
      </c>
      <c r="F102" s="39">
        <v>0</v>
      </c>
      <c r="G102" s="39">
        <v>0</v>
      </c>
      <c r="H102" s="40">
        <v>0.21766284620875864</v>
      </c>
      <c r="I102" s="40">
        <v>0</v>
      </c>
      <c r="J102" s="40">
        <v>0.21766284620875864</v>
      </c>
    </row>
    <row r="103" spans="1:10" ht="11.25" customHeight="1" x14ac:dyDescent="0.2">
      <c r="A103" s="49">
        <v>44621</v>
      </c>
      <c r="B103" s="39">
        <v>10003.890000000001</v>
      </c>
      <c r="C103" s="39">
        <v>12181.36517055934</v>
      </c>
      <c r="D103" s="39">
        <v>0</v>
      </c>
      <c r="E103" s="39">
        <v>0</v>
      </c>
      <c r="F103" s="39">
        <v>0</v>
      </c>
      <c r="G103" s="39">
        <v>0</v>
      </c>
      <c r="H103" s="40">
        <v>0.21766284620875864</v>
      </c>
      <c r="I103" s="40">
        <v>0</v>
      </c>
      <c r="J103" s="40">
        <v>0.21766284620875864</v>
      </c>
    </row>
    <row r="104" spans="1:10" ht="11.25" customHeight="1" x14ac:dyDescent="0.2">
      <c r="A104" s="49">
        <v>44652</v>
      </c>
      <c r="B104" s="39">
        <v>9944.8700000000008</v>
      </c>
      <c r="C104" s="39">
        <v>12109.498709376099</v>
      </c>
      <c r="D104" s="39">
        <v>0</v>
      </c>
      <c r="E104" s="39">
        <v>0</v>
      </c>
      <c r="F104" s="39">
        <v>0</v>
      </c>
      <c r="G104" s="39">
        <v>0</v>
      </c>
      <c r="H104" s="40">
        <v>0.21766284620875864</v>
      </c>
      <c r="I104" s="40">
        <v>0</v>
      </c>
      <c r="J104" s="40">
        <v>0.21766284620875864</v>
      </c>
    </row>
    <row r="105" spans="1:10" ht="11.25" customHeight="1" x14ac:dyDescent="0.2">
      <c r="A105" s="49">
        <v>44682</v>
      </c>
      <c r="B105" s="39">
        <v>10121.93</v>
      </c>
      <c r="C105" s="39">
        <v>12325.098092925822</v>
      </c>
      <c r="D105" s="39">
        <v>0</v>
      </c>
      <c r="E105" s="39">
        <v>0</v>
      </c>
      <c r="F105" s="39">
        <v>0</v>
      </c>
      <c r="G105" s="39">
        <v>0</v>
      </c>
      <c r="H105" s="40">
        <v>0.21766284620875886</v>
      </c>
      <c r="I105" s="40">
        <v>0</v>
      </c>
      <c r="J105" s="40">
        <v>0.21766284620875886</v>
      </c>
    </row>
    <row r="106" spans="1:10" ht="11.25" customHeight="1" x14ac:dyDescent="0.2">
      <c r="A106" s="49">
        <v>44713</v>
      </c>
      <c r="B106" s="39">
        <v>9325.16</v>
      </c>
      <c r="C106" s="39">
        <v>11354.90086695207</v>
      </c>
      <c r="D106" s="39">
        <v>0</v>
      </c>
      <c r="E106" s="39">
        <v>0</v>
      </c>
      <c r="F106" s="39">
        <v>0</v>
      </c>
      <c r="G106" s="39">
        <v>0</v>
      </c>
      <c r="H106" s="40">
        <v>0.21766284620875886</v>
      </c>
      <c r="I106" s="40">
        <v>0</v>
      </c>
      <c r="J106" s="40">
        <v>0.21766284620875886</v>
      </c>
    </row>
    <row r="107" spans="1:10" ht="11.25" customHeight="1" x14ac:dyDescent="0.2">
      <c r="A107" s="49">
        <v>44743</v>
      </c>
      <c r="B107" s="39">
        <v>9413.69</v>
      </c>
      <c r="C107" s="39">
        <v>11462.70055872693</v>
      </c>
      <c r="D107" s="39">
        <v>0</v>
      </c>
      <c r="E107" s="39">
        <v>0</v>
      </c>
      <c r="F107" s="39">
        <v>0</v>
      </c>
      <c r="G107" s="39">
        <v>0</v>
      </c>
      <c r="H107" s="40">
        <v>0.21766284620875864</v>
      </c>
      <c r="I107" s="40">
        <v>0</v>
      </c>
      <c r="J107" s="40">
        <v>0.21766284620875864</v>
      </c>
    </row>
    <row r="108" spans="1:10" ht="11.25" customHeight="1" x14ac:dyDescent="0.2">
      <c r="A108" s="49">
        <v>44774</v>
      </c>
      <c r="B108" s="39">
        <v>9000.5500000000011</v>
      </c>
      <c r="C108" s="39">
        <v>10959.635330444244</v>
      </c>
      <c r="D108" s="39">
        <v>0</v>
      </c>
      <c r="E108" s="39">
        <v>0</v>
      </c>
      <c r="F108" s="39">
        <v>0</v>
      </c>
      <c r="G108" s="39">
        <v>0</v>
      </c>
      <c r="H108" s="40">
        <v>0.21766284620875864</v>
      </c>
      <c r="I108" s="40">
        <v>0</v>
      </c>
      <c r="J108" s="40">
        <v>0.21766284620875864</v>
      </c>
    </row>
    <row r="109" spans="1:10" ht="11.25" customHeight="1" x14ac:dyDescent="0.2">
      <c r="A109" s="48" t="s">
        <v>39</v>
      </c>
      <c r="B109" s="39">
        <v>0</v>
      </c>
      <c r="C109" s="39">
        <v>0</v>
      </c>
      <c r="D109" s="39">
        <v>42250.4712</v>
      </c>
      <c r="E109" s="39">
        <v>51168.566330211848</v>
      </c>
      <c r="F109" s="39">
        <v>3527.2026000000005</v>
      </c>
      <c r="G109" s="39">
        <v>3166.838830033611</v>
      </c>
      <c r="H109" s="40">
        <v>0.21107682061098165</v>
      </c>
      <c r="I109" s="40">
        <v>-0.10216701755844404</v>
      </c>
      <c r="J109" s="40">
        <v>0.18694115820811863</v>
      </c>
    </row>
    <row r="110" spans="1:10" ht="11.25" customHeight="1" x14ac:dyDescent="0.2">
      <c r="A110" s="49">
        <v>44440</v>
      </c>
      <c r="B110" s="39">
        <v>0</v>
      </c>
      <c r="C110" s="39">
        <v>0</v>
      </c>
      <c r="D110" s="39">
        <v>6598.9940800000004</v>
      </c>
      <c r="E110" s="39">
        <v>7991.8887696370903</v>
      </c>
      <c r="F110" s="39">
        <v>550.90484000000004</v>
      </c>
      <c r="G110" s="39">
        <v>494.62053553868822</v>
      </c>
      <c r="H110" s="40">
        <v>0.21107682061098165</v>
      </c>
      <c r="I110" s="40">
        <v>-0.10216701755844404</v>
      </c>
      <c r="J110" s="40">
        <v>0.18694115820811863</v>
      </c>
    </row>
    <row r="111" spans="1:10" ht="11.25" customHeight="1" x14ac:dyDescent="0.2">
      <c r="A111" s="49">
        <v>44470</v>
      </c>
      <c r="B111" s="39">
        <v>0</v>
      </c>
      <c r="C111" s="39">
        <v>0</v>
      </c>
      <c r="D111" s="39">
        <v>3682.1764000000003</v>
      </c>
      <c r="E111" s="39">
        <v>4459.3984874407906</v>
      </c>
      <c r="F111" s="39">
        <v>307.3997</v>
      </c>
      <c r="G111" s="39">
        <v>275.99358945263958</v>
      </c>
      <c r="H111" s="40">
        <v>0.21107682061098165</v>
      </c>
      <c r="I111" s="40">
        <v>-0.10216701755844404</v>
      </c>
      <c r="J111" s="40">
        <v>0.18694115820811885</v>
      </c>
    </row>
    <row r="112" spans="1:10" ht="11.25" customHeight="1" x14ac:dyDescent="0.2">
      <c r="A112" s="49">
        <v>44501</v>
      </c>
      <c r="B112" s="39">
        <v>0</v>
      </c>
      <c r="C112" s="39">
        <v>0</v>
      </c>
      <c r="D112" s="39">
        <v>5606.6976000000004</v>
      </c>
      <c r="E112" s="39">
        <v>6790.1415035352211</v>
      </c>
      <c r="F112" s="39">
        <v>468.06480000000005</v>
      </c>
      <c r="G112" s="39">
        <v>420.24401535991041</v>
      </c>
      <c r="H112" s="40">
        <v>0.21107682061098143</v>
      </c>
      <c r="I112" s="40">
        <v>-0.10216701755844415</v>
      </c>
      <c r="J112" s="40">
        <v>0.18694115820811863</v>
      </c>
    </row>
    <row r="113" spans="1:10" ht="11.25" customHeight="1" x14ac:dyDescent="0.2">
      <c r="A113" s="49">
        <v>44531</v>
      </c>
      <c r="B113" s="39">
        <v>0</v>
      </c>
      <c r="C113" s="39">
        <v>0</v>
      </c>
      <c r="D113" s="39">
        <v>2307.2005599999998</v>
      </c>
      <c r="E113" s="39">
        <v>2794.197118716676</v>
      </c>
      <c r="F113" s="39">
        <v>192.61238</v>
      </c>
      <c r="G113" s="39">
        <v>172.9337475905663</v>
      </c>
      <c r="H113" s="40">
        <v>0.21107682061098165</v>
      </c>
      <c r="I113" s="40">
        <v>-0.10216701755844404</v>
      </c>
      <c r="J113" s="40">
        <v>0.18694115820811885</v>
      </c>
    </row>
    <row r="114" spans="1:10" ht="11.25" customHeight="1" x14ac:dyDescent="0.2">
      <c r="A114" s="49">
        <v>44562</v>
      </c>
      <c r="B114" s="39">
        <v>0</v>
      </c>
      <c r="C114" s="39">
        <v>0</v>
      </c>
      <c r="D114" s="39">
        <v>4371.8892000000005</v>
      </c>
      <c r="E114" s="39">
        <v>5294.6936723994886</v>
      </c>
      <c r="F114" s="39">
        <v>364.97910000000002</v>
      </c>
      <c r="G114" s="39">
        <v>327.69027388183491</v>
      </c>
      <c r="H114" s="40">
        <v>0.21107682061098165</v>
      </c>
      <c r="I114" s="40">
        <v>-0.10216701755844404</v>
      </c>
      <c r="J114" s="40">
        <v>0.18694115820811907</v>
      </c>
    </row>
    <row r="115" spans="1:10" ht="11.25" customHeight="1" x14ac:dyDescent="0.2">
      <c r="A115" s="49">
        <v>44593</v>
      </c>
      <c r="B115" s="39">
        <v>0</v>
      </c>
      <c r="C115" s="39">
        <v>0</v>
      </c>
      <c r="D115" s="39">
        <v>1913.3968</v>
      </c>
      <c r="E115" s="39">
        <v>2317.2705131112261</v>
      </c>
      <c r="F115" s="39">
        <v>159.7364</v>
      </c>
      <c r="G115" s="39">
        <v>143.41660841647735</v>
      </c>
      <c r="H115" s="40">
        <v>0.21107682061098165</v>
      </c>
      <c r="I115" s="40">
        <v>-0.10216701755844415</v>
      </c>
      <c r="J115" s="40">
        <v>0.18694115820811863</v>
      </c>
    </row>
    <row r="116" spans="1:10" ht="11.25" customHeight="1" x14ac:dyDescent="0.2">
      <c r="A116" s="49">
        <v>44621</v>
      </c>
      <c r="B116" s="39">
        <v>0</v>
      </c>
      <c r="C116" s="39">
        <v>0</v>
      </c>
      <c r="D116" s="39">
        <v>3030.2865600000005</v>
      </c>
      <c r="E116" s="39">
        <v>3669.9098126249887</v>
      </c>
      <c r="F116" s="39">
        <v>252.97788000000003</v>
      </c>
      <c r="G116" s="39">
        <v>227.13188449214206</v>
      </c>
      <c r="H116" s="40">
        <v>0.21107682061098143</v>
      </c>
      <c r="I116" s="40">
        <v>-0.10216701755844404</v>
      </c>
      <c r="J116" s="40">
        <v>0.18694115820811863</v>
      </c>
    </row>
    <row r="117" spans="1:10" ht="11.25" customHeight="1" x14ac:dyDescent="0.2">
      <c r="A117" s="49">
        <v>44652</v>
      </c>
      <c r="B117" s="39">
        <v>0</v>
      </c>
      <c r="C117" s="39">
        <v>0</v>
      </c>
      <c r="D117" s="39">
        <v>1608.58824</v>
      </c>
      <c r="E117" s="39">
        <v>1948.1239313714145</v>
      </c>
      <c r="F117" s="39">
        <v>134.29002</v>
      </c>
      <c r="G117" s="39">
        <v>120.57000916873619</v>
      </c>
      <c r="H117" s="40">
        <v>0.21107682061098143</v>
      </c>
      <c r="I117" s="40">
        <v>-0.10216701755844404</v>
      </c>
      <c r="J117" s="40">
        <v>0.18694115820811885</v>
      </c>
    </row>
    <row r="118" spans="1:10" ht="11.25" customHeight="1" x14ac:dyDescent="0.2">
      <c r="A118" s="49">
        <v>44682</v>
      </c>
      <c r="B118" s="39">
        <v>0</v>
      </c>
      <c r="C118" s="39">
        <v>0</v>
      </c>
      <c r="D118" s="39">
        <v>4596.6020799999997</v>
      </c>
      <c r="E118" s="39">
        <v>5566.838232660225</v>
      </c>
      <c r="F118" s="39">
        <v>383.73883999999998</v>
      </c>
      <c r="G118" s="39">
        <v>344.53338719586304</v>
      </c>
      <c r="H118" s="40">
        <v>0.21107682061098165</v>
      </c>
      <c r="I118" s="40">
        <v>-0.10216701755844404</v>
      </c>
      <c r="J118" s="40">
        <v>0.18694115820811885</v>
      </c>
    </row>
    <row r="119" spans="1:10" ht="11.25" customHeight="1" x14ac:dyDescent="0.2">
      <c r="A119" s="49">
        <v>44713</v>
      </c>
      <c r="B119" s="39">
        <v>0</v>
      </c>
      <c r="C119" s="39">
        <v>0</v>
      </c>
      <c r="D119" s="39">
        <v>487.24872000000005</v>
      </c>
      <c r="E119" s="39">
        <v>590.09563066437045</v>
      </c>
      <c r="F119" s="39">
        <v>40.677060000000004</v>
      </c>
      <c r="G119" s="39">
        <v>36.521206096754121</v>
      </c>
      <c r="H119" s="40">
        <v>0.21107682061098165</v>
      </c>
      <c r="I119" s="40">
        <v>-0.10216701755844404</v>
      </c>
      <c r="J119" s="40">
        <v>0.18694115820811885</v>
      </c>
    </row>
    <row r="120" spans="1:10" ht="11.25" customHeight="1" x14ac:dyDescent="0.2">
      <c r="A120" s="49">
        <v>44743</v>
      </c>
      <c r="B120" s="39">
        <v>0</v>
      </c>
      <c r="C120" s="39">
        <v>0</v>
      </c>
      <c r="D120" s="39">
        <v>3651.02808</v>
      </c>
      <c r="E120" s="39">
        <v>4421.6754790878167</v>
      </c>
      <c r="F120" s="39">
        <v>304.79934000000003</v>
      </c>
      <c r="G120" s="39">
        <v>273.65890047841782</v>
      </c>
      <c r="H120" s="40">
        <v>0.21107682061098165</v>
      </c>
      <c r="I120" s="40">
        <v>-0.10216701755844426</v>
      </c>
      <c r="J120" s="40">
        <v>0.18694115820811885</v>
      </c>
    </row>
    <row r="121" spans="1:10" ht="11.25" customHeight="1" x14ac:dyDescent="0.2">
      <c r="A121" s="49">
        <v>44774</v>
      </c>
      <c r="B121" s="39">
        <v>0</v>
      </c>
      <c r="C121" s="39">
        <v>0</v>
      </c>
      <c r="D121" s="39">
        <v>4396.3628800000006</v>
      </c>
      <c r="E121" s="39">
        <v>5324.3331789625381</v>
      </c>
      <c r="F121" s="39">
        <v>367.02224000000001</v>
      </c>
      <c r="G121" s="39">
        <v>329.52467236158054</v>
      </c>
      <c r="H121" s="40">
        <v>0.21107682061098143</v>
      </c>
      <c r="I121" s="40">
        <v>-0.10216701755844404</v>
      </c>
      <c r="J121" s="40">
        <v>0.18694115820811863</v>
      </c>
    </row>
    <row r="122" spans="1:10" ht="11.25" customHeight="1" x14ac:dyDescent="0.2">
      <c r="A122" s="42" t="s">
        <v>22</v>
      </c>
      <c r="B122" s="39">
        <v>0</v>
      </c>
      <c r="C122" s="39">
        <v>0</v>
      </c>
      <c r="D122" s="39">
        <v>7208379.9387044981</v>
      </c>
      <c r="E122" s="39">
        <v>8858185.0220701694</v>
      </c>
      <c r="F122" s="39">
        <v>3033218.8608624996</v>
      </c>
      <c r="G122" s="39">
        <v>2723322.3060376574</v>
      </c>
      <c r="H122" s="40">
        <v>0.22887321386977044</v>
      </c>
      <c r="I122" s="40">
        <v>-0.10216755501009911</v>
      </c>
      <c r="J122" s="40">
        <v>0.13083001538758632</v>
      </c>
    </row>
    <row r="123" spans="1:10" ht="11.25" customHeight="1" x14ac:dyDescent="0.2">
      <c r="A123" s="43" t="s">
        <v>33</v>
      </c>
      <c r="B123" s="39">
        <v>0</v>
      </c>
      <c r="C123" s="39">
        <v>0</v>
      </c>
      <c r="D123" s="39">
        <v>3388.5145400000001</v>
      </c>
      <c r="E123" s="39">
        <v>4198.5962115887851</v>
      </c>
      <c r="F123" s="39">
        <v>1795.9200599999995</v>
      </c>
      <c r="G123" s="39">
        <v>1612.4362636964181</v>
      </c>
      <c r="H123" s="40">
        <v>0.23906690144784948</v>
      </c>
      <c r="I123" s="40">
        <v>-0.10216701755844382</v>
      </c>
      <c r="J123" s="40">
        <v>0.12086137132199593</v>
      </c>
    </row>
    <row r="124" spans="1:10" ht="11.25" customHeight="1" x14ac:dyDescent="0.2">
      <c r="A124" s="44" t="s">
        <v>24</v>
      </c>
      <c r="B124" s="39">
        <v>0</v>
      </c>
      <c r="C124" s="39">
        <v>0</v>
      </c>
      <c r="D124" s="39">
        <v>3388.5145400000001</v>
      </c>
      <c r="E124" s="39">
        <v>4198.5962115887851</v>
      </c>
      <c r="F124" s="39">
        <v>1795.9200599999995</v>
      </c>
      <c r="G124" s="39">
        <v>1612.4362636964181</v>
      </c>
      <c r="H124" s="40">
        <v>0.23906690144784948</v>
      </c>
      <c r="I124" s="40">
        <v>-0.10216701755844382</v>
      </c>
      <c r="J124" s="40">
        <v>0.12086137132199593</v>
      </c>
    </row>
    <row r="125" spans="1:10" ht="11.25" customHeight="1" x14ac:dyDescent="0.2">
      <c r="A125" s="45" t="s">
        <v>24</v>
      </c>
      <c r="B125" s="39">
        <v>0</v>
      </c>
      <c r="C125" s="39">
        <v>0</v>
      </c>
      <c r="D125" s="39">
        <v>3388.5145400000001</v>
      </c>
      <c r="E125" s="39">
        <v>4198.5962115887851</v>
      </c>
      <c r="F125" s="39">
        <v>1795.9200599999995</v>
      </c>
      <c r="G125" s="39">
        <v>1612.4362636964181</v>
      </c>
      <c r="H125" s="40">
        <v>0.23906690144784948</v>
      </c>
      <c r="I125" s="40">
        <v>-0.10216701755844382</v>
      </c>
      <c r="J125" s="40">
        <v>0.12086137132199593</v>
      </c>
    </row>
    <row r="126" spans="1:10" ht="11.25" customHeight="1" x14ac:dyDescent="0.2">
      <c r="A126" s="46" t="s">
        <v>25</v>
      </c>
      <c r="B126" s="39">
        <v>0</v>
      </c>
      <c r="C126" s="39">
        <v>0</v>
      </c>
      <c r="D126" s="39">
        <v>3388.5145400000001</v>
      </c>
      <c r="E126" s="39">
        <v>4198.5962115887851</v>
      </c>
      <c r="F126" s="39">
        <v>1795.9200599999995</v>
      </c>
      <c r="G126" s="39">
        <v>1612.4362636964181</v>
      </c>
      <c r="H126" s="40">
        <v>0.23906690144784948</v>
      </c>
      <c r="I126" s="40">
        <v>-0.10216701755844382</v>
      </c>
      <c r="J126" s="40">
        <v>0.12086137132199593</v>
      </c>
    </row>
    <row r="127" spans="1:10" ht="11.25" customHeight="1" x14ac:dyDescent="0.2">
      <c r="A127" s="47" t="s">
        <v>25</v>
      </c>
      <c r="B127" s="39">
        <v>0</v>
      </c>
      <c r="C127" s="39">
        <v>0</v>
      </c>
      <c r="D127" s="39">
        <v>3388.5145400000001</v>
      </c>
      <c r="E127" s="39">
        <v>4198.5962115887851</v>
      </c>
      <c r="F127" s="39">
        <v>1795.9200599999995</v>
      </c>
      <c r="G127" s="39">
        <v>1612.4362636964181</v>
      </c>
      <c r="H127" s="40">
        <v>0.23906690144784948</v>
      </c>
      <c r="I127" s="40">
        <v>-0.10216701755844382</v>
      </c>
      <c r="J127" s="40">
        <v>0.12086137132199593</v>
      </c>
    </row>
    <row r="128" spans="1:10" ht="11.25" customHeight="1" x14ac:dyDescent="0.2">
      <c r="A128" s="48" t="s">
        <v>34</v>
      </c>
      <c r="B128" s="39">
        <v>0</v>
      </c>
      <c r="C128" s="39">
        <v>0</v>
      </c>
      <c r="D128" s="39">
        <v>2484.8409000000001</v>
      </c>
      <c r="E128" s="39">
        <v>3102.6557252919083</v>
      </c>
      <c r="F128" s="39">
        <v>1608.6941399999998</v>
      </c>
      <c r="G128" s="39">
        <v>1444.3386575524542</v>
      </c>
      <c r="H128" s="40">
        <v>0.2486335544830689</v>
      </c>
      <c r="I128" s="40">
        <v>-0.10216701755844382</v>
      </c>
      <c r="J128" s="40">
        <v>0.11077451112873904</v>
      </c>
    </row>
    <row r="129" spans="1:10" ht="11.25" customHeight="1" x14ac:dyDescent="0.2">
      <c r="A129" s="49">
        <v>44440</v>
      </c>
      <c r="B129" s="39">
        <v>0</v>
      </c>
      <c r="C129" s="39">
        <v>0</v>
      </c>
      <c r="D129" s="39">
        <v>43.034999999999997</v>
      </c>
      <c r="E129" s="39">
        <v>53.73494501717888</v>
      </c>
      <c r="F129" s="39">
        <v>27.861000000000001</v>
      </c>
      <c r="G129" s="39">
        <v>25.01452472380419</v>
      </c>
      <c r="H129" s="40">
        <v>0.24863355448306934</v>
      </c>
      <c r="I129" s="40">
        <v>-0.10216701755844404</v>
      </c>
      <c r="J129" s="40">
        <v>0.11077451112873882</v>
      </c>
    </row>
    <row r="130" spans="1:10" ht="11.25" customHeight="1" x14ac:dyDescent="0.2">
      <c r="A130" s="49">
        <v>44470</v>
      </c>
      <c r="B130" s="39">
        <v>0</v>
      </c>
      <c r="C130" s="39">
        <v>0</v>
      </c>
      <c r="D130" s="39">
        <v>220.33919999999998</v>
      </c>
      <c r="E130" s="39">
        <v>275.12291848795587</v>
      </c>
      <c r="F130" s="39">
        <v>142.64832000000001</v>
      </c>
      <c r="G130" s="39">
        <v>128.07436658587747</v>
      </c>
      <c r="H130" s="40">
        <v>0.24863355448306934</v>
      </c>
      <c r="I130" s="40">
        <v>-0.10216701755844404</v>
      </c>
      <c r="J130" s="40">
        <v>0.11077451112873882</v>
      </c>
    </row>
    <row r="131" spans="1:10" ht="11.25" customHeight="1" x14ac:dyDescent="0.2">
      <c r="A131" s="49">
        <v>44501</v>
      </c>
      <c r="B131" s="39">
        <v>0</v>
      </c>
      <c r="C131" s="39">
        <v>0</v>
      </c>
      <c r="D131" s="39">
        <v>147.4666</v>
      </c>
      <c r="E131" s="39">
        <v>184.13174492553298</v>
      </c>
      <c r="F131" s="39">
        <v>95.470360000000014</v>
      </c>
      <c r="G131" s="39">
        <v>85.716438053569021</v>
      </c>
      <c r="H131" s="40">
        <v>0.24863355448306934</v>
      </c>
      <c r="I131" s="40">
        <v>-0.10216701755844426</v>
      </c>
      <c r="J131" s="40">
        <v>0.11077451112873904</v>
      </c>
    </row>
    <row r="132" spans="1:10" ht="11.25" customHeight="1" x14ac:dyDescent="0.2">
      <c r="A132" s="49">
        <v>44531</v>
      </c>
      <c r="B132" s="39">
        <v>0</v>
      </c>
      <c r="C132" s="39">
        <v>0</v>
      </c>
      <c r="D132" s="39">
        <v>179.3125</v>
      </c>
      <c r="E132" s="39">
        <v>223.89560423824534</v>
      </c>
      <c r="F132" s="39">
        <v>116.08750000000001</v>
      </c>
      <c r="G132" s="39">
        <v>104.22718634918412</v>
      </c>
      <c r="H132" s="40">
        <v>0.24863355448306912</v>
      </c>
      <c r="I132" s="40">
        <v>-0.10216701755844415</v>
      </c>
      <c r="J132" s="40">
        <v>0.11077451112873882</v>
      </c>
    </row>
    <row r="133" spans="1:10" ht="11.25" customHeight="1" x14ac:dyDescent="0.2">
      <c r="A133" s="49">
        <v>44562</v>
      </c>
      <c r="B133" s="39">
        <v>0</v>
      </c>
      <c r="C133" s="39">
        <v>0</v>
      </c>
      <c r="D133" s="39">
        <v>400.22549999999995</v>
      </c>
      <c r="E133" s="39">
        <v>499.73498865976359</v>
      </c>
      <c r="F133" s="39">
        <v>259.10730000000001</v>
      </c>
      <c r="G133" s="39">
        <v>232.63507993137898</v>
      </c>
      <c r="H133" s="40">
        <v>0.24863355448306934</v>
      </c>
      <c r="I133" s="40">
        <v>-0.10216701755844404</v>
      </c>
      <c r="J133" s="40">
        <v>0.11077451112873904</v>
      </c>
    </row>
    <row r="134" spans="1:10" ht="11.25" customHeight="1" x14ac:dyDescent="0.2">
      <c r="A134" s="49">
        <v>44593</v>
      </c>
      <c r="B134" s="39">
        <v>0</v>
      </c>
      <c r="C134" s="39">
        <v>0</v>
      </c>
      <c r="D134" s="39">
        <v>217.75709999999998</v>
      </c>
      <c r="E134" s="39">
        <v>271.89882178692517</v>
      </c>
      <c r="F134" s="39">
        <v>140.97666000000001</v>
      </c>
      <c r="G134" s="39">
        <v>126.5734951024492</v>
      </c>
      <c r="H134" s="40">
        <v>0.24863355448306934</v>
      </c>
      <c r="I134" s="40">
        <v>-0.10216701755844415</v>
      </c>
      <c r="J134" s="40">
        <v>0.11077451112873904</v>
      </c>
    </row>
    <row r="135" spans="1:10" ht="11.25" customHeight="1" x14ac:dyDescent="0.2">
      <c r="A135" s="49">
        <v>44621</v>
      </c>
      <c r="B135" s="39">
        <v>0</v>
      </c>
      <c r="C135" s="39">
        <v>0</v>
      </c>
      <c r="D135" s="39">
        <v>185.0505</v>
      </c>
      <c r="E135" s="39">
        <v>231.06026357386921</v>
      </c>
      <c r="F135" s="39">
        <v>119.8023</v>
      </c>
      <c r="G135" s="39">
        <v>107.56245631235802</v>
      </c>
      <c r="H135" s="40">
        <v>0.24863355448306934</v>
      </c>
      <c r="I135" s="40">
        <v>-0.10216701755844404</v>
      </c>
      <c r="J135" s="40">
        <v>0.11077451112873904</v>
      </c>
    </row>
    <row r="136" spans="1:10" ht="11.25" customHeight="1" x14ac:dyDescent="0.2">
      <c r="A136" s="49">
        <v>44652</v>
      </c>
      <c r="B136" s="39">
        <v>0</v>
      </c>
      <c r="C136" s="39">
        <v>0</v>
      </c>
      <c r="D136" s="39">
        <v>245.01259999999996</v>
      </c>
      <c r="E136" s="39">
        <v>305.93095363113844</v>
      </c>
      <c r="F136" s="39">
        <v>158.62196</v>
      </c>
      <c r="G136" s="39">
        <v>142.41602742752519</v>
      </c>
      <c r="H136" s="40">
        <v>0.24863355448306934</v>
      </c>
      <c r="I136" s="40">
        <v>-0.10216701755844404</v>
      </c>
      <c r="J136" s="40">
        <v>0.11077451112873904</v>
      </c>
    </row>
    <row r="137" spans="1:10" ht="11.25" customHeight="1" x14ac:dyDescent="0.2">
      <c r="A137" s="49">
        <v>44682</v>
      </c>
      <c r="B137" s="39">
        <v>0</v>
      </c>
      <c r="C137" s="39">
        <v>0</v>
      </c>
      <c r="D137" s="39">
        <v>275.13709999999998</v>
      </c>
      <c r="E137" s="39">
        <v>343.54541514316361</v>
      </c>
      <c r="F137" s="39">
        <v>178.12466000000001</v>
      </c>
      <c r="G137" s="39">
        <v>159.92619473418813</v>
      </c>
      <c r="H137" s="40">
        <v>0.24863355448306912</v>
      </c>
      <c r="I137" s="40">
        <v>-0.10216701755844404</v>
      </c>
      <c r="J137" s="40">
        <v>0.11077451112873882</v>
      </c>
    </row>
    <row r="138" spans="1:10" ht="11.25" customHeight="1" x14ac:dyDescent="0.2">
      <c r="A138" s="49">
        <v>44713</v>
      </c>
      <c r="B138" s="39">
        <v>0</v>
      </c>
      <c r="C138" s="39">
        <v>0</v>
      </c>
      <c r="D138" s="39">
        <v>208.57629999999997</v>
      </c>
      <c r="E138" s="39">
        <v>260.43536684992699</v>
      </c>
      <c r="F138" s="39">
        <v>135.03298000000001</v>
      </c>
      <c r="G138" s="39">
        <v>121.23706316137097</v>
      </c>
      <c r="H138" s="40">
        <v>0.24863355448306934</v>
      </c>
      <c r="I138" s="40">
        <v>-0.10216701755844415</v>
      </c>
      <c r="J138" s="40">
        <v>0.11077451112873882</v>
      </c>
    </row>
    <row r="139" spans="1:10" ht="11.25" customHeight="1" x14ac:dyDescent="0.2">
      <c r="A139" s="49">
        <v>44743</v>
      </c>
      <c r="B139" s="39">
        <v>0</v>
      </c>
      <c r="C139" s="39">
        <v>0</v>
      </c>
      <c r="D139" s="39">
        <v>167.83649999999997</v>
      </c>
      <c r="E139" s="39">
        <v>209.56628556699764</v>
      </c>
      <c r="F139" s="39">
        <v>108.6579</v>
      </c>
      <c r="G139" s="39">
        <v>97.556646422836337</v>
      </c>
      <c r="H139" s="40">
        <v>0.24863355448306934</v>
      </c>
      <c r="I139" s="40">
        <v>-0.10216701755844404</v>
      </c>
      <c r="J139" s="40">
        <v>0.11077451112873904</v>
      </c>
    </row>
    <row r="140" spans="1:10" ht="11.25" customHeight="1" x14ac:dyDescent="0.2">
      <c r="A140" s="49">
        <v>44774</v>
      </c>
      <c r="B140" s="39">
        <v>0</v>
      </c>
      <c r="C140" s="39">
        <v>0</v>
      </c>
      <c r="D140" s="39">
        <v>195.09199999999998</v>
      </c>
      <c r="E140" s="39">
        <v>243.59841741121096</v>
      </c>
      <c r="F140" s="39">
        <v>126.30320000000002</v>
      </c>
      <c r="G140" s="39">
        <v>113.39917874791234</v>
      </c>
      <c r="H140" s="40">
        <v>0.24863355448306934</v>
      </c>
      <c r="I140" s="40">
        <v>-0.10216701755844404</v>
      </c>
      <c r="J140" s="40">
        <v>0.11077451112873904</v>
      </c>
    </row>
    <row r="141" spans="1:10" ht="11.25" customHeight="1" x14ac:dyDescent="0.2">
      <c r="A141" s="48" t="s">
        <v>42</v>
      </c>
      <c r="B141" s="39">
        <v>0</v>
      </c>
      <c r="C141" s="39">
        <v>0</v>
      </c>
      <c r="D141" s="39">
        <v>222.19340000000003</v>
      </c>
      <c r="E141" s="39">
        <v>270.86195645189696</v>
      </c>
      <c r="F141" s="39">
        <v>63.151600000000002</v>
      </c>
      <c r="G141" s="39">
        <v>56.699589373956165</v>
      </c>
      <c r="H141" s="40">
        <v>0.21903691312116802</v>
      </c>
      <c r="I141" s="40">
        <v>-0.10216701755844404</v>
      </c>
      <c r="J141" s="40">
        <v>0.14794913464701698</v>
      </c>
    </row>
    <row r="142" spans="1:10" ht="11.25" customHeight="1" x14ac:dyDescent="0.2">
      <c r="A142" s="49">
        <v>44470</v>
      </c>
      <c r="B142" s="39">
        <v>0</v>
      </c>
      <c r="C142" s="39">
        <v>0</v>
      </c>
      <c r="D142" s="39">
        <v>26.1404</v>
      </c>
      <c r="E142" s="39">
        <v>31.86611252375258</v>
      </c>
      <c r="F142" s="39">
        <v>7.4296000000000006</v>
      </c>
      <c r="G142" s="39">
        <v>6.670539926347784</v>
      </c>
      <c r="H142" s="40">
        <v>0.21903691312116802</v>
      </c>
      <c r="I142" s="40">
        <v>-0.10216701755844415</v>
      </c>
      <c r="J142" s="40">
        <v>0.14794913464701698</v>
      </c>
    </row>
    <row r="143" spans="1:10" ht="11.25" customHeight="1" x14ac:dyDescent="0.2">
      <c r="A143" s="49">
        <v>44501</v>
      </c>
      <c r="B143" s="39">
        <v>0</v>
      </c>
      <c r="C143" s="39">
        <v>0</v>
      </c>
      <c r="D143" s="39">
        <v>17.644770000000001</v>
      </c>
      <c r="E143" s="39">
        <v>21.509625953532993</v>
      </c>
      <c r="F143" s="39">
        <v>5.0149800000000004</v>
      </c>
      <c r="G143" s="39">
        <v>4.5026144502847538</v>
      </c>
      <c r="H143" s="40">
        <v>0.21903691312116802</v>
      </c>
      <c r="I143" s="40">
        <v>-0.10216701755844426</v>
      </c>
      <c r="J143" s="40">
        <v>0.14794913464701698</v>
      </c>
    </row>
    <row r="144" spans="1:10" ht="11.25" customHeight="1" x14ac:dyDescent="0.2">
      <c r="A144" s="49">
        <v>44531</v>
      </c>
      <c r="B144" s="39">
        <v>0</v>
      </c>
      <c r="C144" s="39">
        <v>0</v>
      </c>
      <c r="D144" s="39">
        <v>22.872850000000003</v>
      </c>
      <c r="E144" s="39">
        <v>27.882848458283512</v>
      </c>
      <c r="F144" s="39">
        <v>6.5009000000000006</v>
      </c>
      <c r="G144" s="39">
        <v>5.8367224355543117</v>
      </c>
      <c r="H144" s="40">
        <v>0.21903691312116802</v>
      </c>
      <c r="I144" s="40">
        <v>-0.10216701755844404</v>
      </c>
      <c r="J144" s="40">
        <v>0.1479491346470172</v>
      </c>
    </row>
    <row r="145" spans="1:10" ht="11.25" customHeight="1" x14ac:dyDescent="0.2">
      <c r="A145" s="49">
        <v>44562</v>
      </c>
      <c r="B145" s="39">
        <v>0</v>
      </c>
      <c r="C145" s="39">
        <v>0</v>
      </c>
      <c r="D145" s="39">
        <v>33.329009999999997</v>
      </c>
      <c r="E145" s="39">
        <v>40.629293467784535</v>
      </c>
      <c r="F145" s="39">
        <v>9.4727399999999999</v>
      </c>
      <c r="G145" s="39">
        <v>8.5049384060934248</v>
      </c>
      <c r="H145" s="40">
        <v>0.21903691312116802</v>
      </c>
      <c r="I145" s="40">
        <v>-0.10216701755844404</v>
      </c>
      <c r="J145" s="40">
        <v>0.14794913464701698</v>
      </c>
    </row>
    <row r="146" spans="1:10" ht="11.25" customHeight="1" x14ac:dyDescent="0.2">
      <c r="A146" s="49">
        <v>44593</v>
      </c>
      <c r="B146" s="39">
        <v>0</v>
      </c>
      <c r="C146" s="39">
        <v>0</v>
      </c>
      <c r="D146" s="39">
        <v>8.4956300000000002</v>
      </c>
      <c r="E146" s="39">
        <v>10.356486570219589</v>
      </c>
      <c r="F146" s="39">
        <v>2.4146200000000002</v>
      </c>
      <c r="G146" s="39">
        <v>2.1679254760630298</v>
      </c>
      <c r="H146" s="40">
        <v>0.21903691312116802</v>
      </c>
      <c r="I146" s="40">
        <v>-0.10216701755844415</v>
      </c>
      <c r="J146" s="40">
        <v>0.14794913464701698</v>
      </c>
    </row>
    <row r="147" spans="1:10" ht="11.25" customHeight="1" x14ac:dyDescent="0.2">
      <c r="A147" s="49">
        <v>44652</v>
      </c>
      <c r="B147" s="39">
        <v>0</v>
      </c>
      <c r="C147" s="39">
        <v>0</v>
      </c>
      <c r="D147" s="39">
        <v>16.99126</v>
      </c>
      <c r="E147" s="39">
        <v>20.712973140439178</v>
      </c>
      <c r="F147" s="39">
        <v>4.8292400000000004</v>
      </c>
      <c r="G147" s="39">
        <v>4.3358509521260595</v>
      </c>
      <c r="H147" s="40">
        <v>0.21903691312116802</v>
      </c>
      <c r="I147" s="40">
        <v>-0.10216701755844415</v>
      </c>
      <c r="J147" s="40">
        <v>0.14794913464701698</v>
      </c>
    </row>
    <row r="148" spans="1:10" ht="11.25" customHeight="1" x14ac:dyDescent="0.2">
      <c r="A148" s="49">
        <v>44682</v>
      </c>
      <c r="B148" s="39">
        <v>0</v>
      </c>
      <c r="C148" s="39">
        <v>0</v>
      </c>
      <c r="D148" s="39">
        <v>23.526359999999997</v>
      </c>
      <c r="E148" s="39">
        <v>28.679501271377323</v>
      </c>
      <c r="F148" s="39">
        <v>6.6866399999999997</v>
      </c>
      <c r="G148" s="39">
        <v>6.0034859337130051</v>
      </c>
      <c r="H148" s="40">
        <v>0.21903691312116824</v>
      </c>
      <c r="I148" s="40">
        <v>-0.10216701755844415</v>
      </c>
      <c r="J148" s="40">
        <v>0.1479491346470172</v>
      </c>
    </row>
    <row r="149" spans="1:10" ht="11.25" customHeight="1" x14ac:dyDescent="0.2">
      <c r="A149" s="49">
        <v>44713</v>
      </c>
      <c r="B149" s="39">
        <v>0</v>
      </c>
      <c r="C149" s="39">
        <v>0</v>
      </c>
      <c r="D149" s="39">
        <v>31.368480000000002</v>
      </c>
      <c r="E149" s="39">
        <v>38.239335028503099</v>
      </c>
      <c r="F149" s="39">
        <v>8.9155200000000008</v>
      </c>
      <c r="G149" s="39">
        <v>8.0046479116173419</v>
      </c>
      <c r="H149" s="40">
        <v>0.21903691312116802</v>
      </c>
      <c r="I149" s="40">
        <v>-0.10216701755844404</v>
      </c>
      <c r="J149" s="40">
        <v>0.14794913464701698</v>
      </c>
    </row>
    <row r="150" spans="1:10" ht="11.25" customHeight="1" x14ac:dyDescent="0.2">
      <c r="A150" s="49">
        <v>44743</v>
      </c>
      <c r="B150" s="39">
        <v>0</v>
      </c>
      <c r="C150" s="39">
        <v>0</v>
      </c>
      <c r="D150" s="39">
        <v>23.526359999999997</v>
      </c>
      <c r="E150" s="39">
        <v>28.679501271377323</v>
      </c>
      <c r="F150" s="39">
        <v>6.6866399999999997</v>
      </c>
      <c r="G150" s="39">
        <v>6.0034859337130051</v>
      </c>
      <c r="H150" s="40">
        <v>0.21903691312116824</v>
      </c>
      <c r="I150" s="40">
        <v>-0.10216701755844415</v>
      </c>
      <c r="J150" s="40">
        <v>0.1479491346470172</v>
      </c>
    </row>
    <row r="151" spans="1:10" ht="11.25" customHeight="1" x14ac:dyDescent="0.2">
      <c r="A151" s="49">
        <v>44774</v>
      </c>
      <c r="B151" s="39">
        <v>0</v>
      </c>
      <c r="C151" s="39">
        <v>0</v>
      </c>
      <c r="D151" s="39">
        <v>18.298280000000002</v>
      </c>
      <c r="E151" s="39">
        <v>22.306278766626807</v>
      </c>
      <c r="F151" s="39">
        <v>5.2007200000000005</v>
      </c>
      <c r="G151" s="39">
        <v>4.669377948443449</v>
      </c>
      <c r="H151" s="40">
        <v>0.21903691312116802</v>
      </c>
      <c r="I151" s="40">
        <v>-0.10216701755844415</v>
      </c>
      <c r="J151" s="40">
        <v>0.1479491346470172</v>
      </c>
    </row>
    <row r="152" spans="1:10" ht="11.25" customHeight="1" x14ac:dyDescent="0.2">
      <c r="A152" s="48" t="s">
        <v>39</v>
      </c>
      <c r="B152" s="39">
        <v>0</v>
      </c>
      <c r="C152" s="39">
        <v>0</v>
      </c>
      <c r="D152" s="39">
        <v>681.48023999999998</v>
      </c>
      <c r="E152" s="39">
        <v>825.07852984497958</v>
      </c>
      <c r="F152" s="39">
        <v>124.07432</v>
      </c>
      <c r="G152" s="39">
        <v>111.39801677000801</v>
      </c>
      <c r="H152" s="40">
        <v>0.21071526570598675</v>
      </c>
      <c r="I152" s="40">
        <v>-0.10216701755844393</v>
      </c>
      <c r="J152" s="40">
        <v>0.16252404631039208</v>
      </c>
    </row>
    <row r="153" spans="1:10" ht="11.25" customHeight="1" x14ac:dyDescent="0.2">
      <c r="A153" s="49">
        <v>44470</v>
      </c>
      <c r="B153" s="39">
        <v>0</v>
      </c>
      <c r="C153" s="39">
        <v>0</v>
      </c>
      <c r="D153" s="39">
        <v>67.331879999999998</v>
      </c>
      <c r="E153" s="39">
        <v>81.519734984683595</v>
      </c>
      <c r="F153" s="39">
        <v>12.258840000000001</v>
      </c>
      <c r="G153" s="39">
        <v>11.006390878473844</v>
      </c>
      <c r="H153" s="40">
        <v>0.21071526570598653</v>
      </c>
      <c r="I153" s="40">
        <v>-0.10216701755844404</v>
      </c>
      <c r="J153" s="40">
        <v>0.16252404631039186</v>
      </c>
    </row>
    <row r="154" spans="1:10" ht="11.25" customHeight="1" x14ac:dyDescent="0.2">
      <c r="A154" s="49">
        <v>44501</v>
      </c>
      <c r="B154" s="39">
        <v>0</v>
      </c>
      <c r="C154" s="39">
        <v>0</v>
      </c>
      <c r="D154" s="39">
        <v>33.665939999999999</v>
      </c>
      <c r="E154" s="39">
        <v>40.759867492341797</v>
      </c>
      <c r="F154" s="39">
        <v>6.1294200000000005</v>
      </c>
      <c r="G154" s="39">
        <v>5.5031954392369222</v>
      </c>
      <c r="H154" s="40">
        <v>0.21071526570598653</v>
      </c>
      <c r="I154" s="40">
        <v>-0.10216701755844404</v>
      </c>
      <c r="J154" s="40">
        <v>0.16252404631039186</v>
      </c>
    </row>
    <row r="155" spans="1:10" ht="11.25" customHeight="1" x14ac:dyDescent="0.2">
      <c r="A155" s="49">
        <v>44531</v>
      </c>
      <c r="B155" s="39">
        <v>0</v>
      </c>
      <c r="C155" s="39">
        <v>0</v>
      </c>
      <c r="D155" s="39">
        <v>46.928279999999994</v>
      </c>
      <c r="E155" s="39">
        <v>56.816784989324923</v>
      </c>
      <c r="F155" s="39">
        <v>8.5440400000000007</v>
      </c>
      <c r="G155" s="39">
        <v>7.6711209152999515</v>
      </c>
      <c r="H155" s="40">
        <v>0.21071526570598653</v>
      </c>
      <c r="I155" s="40">
        <v>-0.10216701755844415</v>
      </c>
      <c r="J155" s="40">
        <v>0.16252404631039208</v>
      </c>
    </row>
    <row r="156" spans="1:10" ht="11.25" customHeight="1" x14ac:dyDescent="0.2">
      <c r="A156" s="49">
        <v>44562</v>
      </c>
      <c r="B156" s="39">
        <v>0</v>
      </c>
      <c r="C156" s="39">
        <v>0</v>
      </c>
      <c r="D156" s="39">
        <v>69.372240000000005</v>
      </c>
      <c r="E156" s="39">
        <v>83.990029984219461</v>
      </c>
      <c r="F156" s="39">
        <v>12.630320000000001</v>
      </c>
      <c r="G156" s="39">
        <v>11.339917874791233</v>
      </c>
      <c r="H156" s="40">
        <v>0.21071526570598631</v>
      </c>
      <c r="I156" s="40">
        <v>-0.10216701755844415</v>
      </c>
      <c r="J156" s="40">
        <v>0.16252404631039208</v>
      </c>
    </row>
    <row r="157" spans="1:10" ht="11.25" customHeight="1" x14ac:dyDescent="0.2">
      <c r="A157" s="49">
        <v>44593</v>
      </c>
      <c r="B157" s="39">
        <v>0</v>
      </c>
      <c r="C157" s="39">
        <v>0</v>
      </c>
      <c r="D157" s="39">
        <v>34.686120000000003</v>
      </c>
      <c r="E157" s="39">
        <v>41.995014992109731</v>
      </c>
      <c r="F157" s="39">
        <v>6.3151600000000006</v>
      </c>
      <c r="G157" s="39">
        <v>5.6699589373956165</v>
      </c>
      <c r="H157" s="40">
        <v>0.21071526570598631</v>
      </c>
      <c r="I157" s="40">
        <v>-0.10216701755844415</v>
      </c>
      <c r="J157" s="40">
        <v>0.16252404631039208</v>
      </c>
    </row>
    <row r="158" spans="1:10" ht="11.25" customHeight="1" x14ac:dyDescent="0.2">
      <c r="A158" s="49">
        <v>44621</v>
      </c>
      <c r="B158" s="39">
        <v>0</v>
      </c>
      <c r="C158" s="39">
        <v>0</v>
      </c>
      <c r="D158" s="39">
        <v>18.363239999999998</v>
      </c>
      <c r="E158" s="39">
        <v>22.232654995822795</v>
      </c>
      <c r="F158" s="39">
        <v>3.3433199999999998</v>
      </c>
      <c r="G158" s="39">
        <v>3.0017429668565025</v>
      </c>
      <c r="H158" s="40">
        <v>0.21071526570598631</v>
      </c>
      <c r="I158" s="40">
        <v>-0.10216701755844415</v>
      </c>
      <c r="J158" s="40">
        <v>0.16252404631039186</v>
      </c>
    </row>
    <row r="159" spans="1:10" ht="11.25" customHeight="1" x14ac:dyDescent="0.2">
      <c r="A159" s="49">
        <v>44652</v>
      </c>
      <c r="B159" s="39">
        <v>0</v>
      </c>
      <c r="C159" s="39">
        <v>0</v>
      </c>
      <c r="D159" s="39">
        <v>66.311700000000002</v>
      </c>
      <c r="E159" s="39">
        <v>80.284587484915662</v>
      </c>
      <c r="F159" s="39">
        <v>12.0731</v>
      </c>
      <c r="G159" s="39">
        <v>10.83962738031515</v>
      </c>
      <c r="H159" s="40">
        <v>0.21071526570598631</v>
      </c>
      <c r="I159" s="40">
        <v>-0.10216701755844393</v>
      </c>
      <c r="J159" s="40">
        <v>0.16252404631039208</v>
      </c>
    </row>
    <row r="160" spans="1:10" ht="11.25" customHeight="1" x14ac:dyDescent="0.2">
      <c r="A160" s="49">
        <v>44682</v>
      </c>
      <c r="B160" s="39">
        <v>0</v>
      </c>
      <c r="C160" s="39">
        <v>0</v>
      </c>
      <c r="D160" s="39">
        <v>97.937280000000001</v>
      </c>
      <c r="E160" s="39">
        <v>118.57415997772158</v>
      </c>
      <c r="F160" s="39">
        <v>17.831040000000002</v>
      </c>
      <c r="G160" s="39">
        <v>16.009295823234684</v>
      </c>
      <c r="H160" s="40">
        <v>0.21071526570598631</v>
      </c>
      <c r="I160" s="40">
        <v>-0.10216701755844404</v>
      </c>
      <c r="J160" s="40">
        <v>0.16252404631039186</v>
      </c>
    </row>
    <row r="161" spans="1:10" ht="11.25" customHeight="1" x14ac:dyDescent="0.2">
      <c r="A161" s="49">
        <v>44713</v>
      </c>
      <c r="B161" s="39">
        <v>0</v>
      </c>
      <c r="C161" s="39">
        <v>0</v>
      </c>
      <c r="D161" s="39">
        <v>85.695120000000003</v>
      </c>
      <c r="E161" s="39">
        <v>103.75238998050639</v>
      </c>
      <c r="F161" s="39">
        <v>15.602160000000001</v>
      </c>
      <c r="G161" s="39">
        <v>14.008133845330347</v>
      </c>
      <c r="H161" s="40">
        <v>0.21071526570598631</v>
      </c>
      <c r="I161" s="40">
        <v>-0.10216701755844415</v>
      </c>
      <c r="J161" s="40">
        <v>0.16252404631039186</v>
      </c>
    </row>
    <row r="162" spans="1:10" ht="11.25" customHeight="1" x14ac:dyDescent="0.2">
      <c r="A162" s="49">
        <v>44743</v>
      </c>
      <c r="B162" s="39">
        <v>0</v>
      </c>
      <c r="C162" s="39">
        <v>0</v>
      </c>
      <c r="D162" s="39">
        <v>85.695120000000003</v>
      </c>
      <c r="E162" s="39">
        <v>103.75238998050639</v>
      </c>
      <c r="F162" s="39">
        <v>15.602160000000001</v>
      </c>
      <c r="G162" s="39">
        <v>14.008133845330347</v>
      </c>
      <c r="H162" s="40">
        <v>0.21071526570598631</v>
      </c>
      <c r="I162" s="40">
        <v>-0.10216701755844415</v>
      </c>
      <c r="J162" s="40">
        <v>0.16252404631039186</v>
      </c>
    </row>
    <row r="163" spans="1:10" ht="11.25" customHeight="1" x14ac:dyDescent="0.2">
      <c r="A163" s="49">
        <v>44774</v>
      </c>
      <c r="B163" s="39">
        <v>0</v>
      </c>
      <c r="C163" s="39">
        <v>0</v>
      </c>
      <c r="D163" s="39">
        <v>75.493319999999997</v>
      </c>
      <c r="E163" s="39">
        <v>91.400914982827047</v>
      </c>
      <c r="F163" s="39">
        <v>13.744759999999999</v>
      </c>
      <c r="G163" s="39">
        <v>12.340498863743401</v>
      </c>
      <c r="H163" s="40">
        <v>0.21071526570598631</v>
      </c>
      <c r="I163" s="40">
        <v>-0.10216701755844404</v>
      </c>
      <c r="J163" s="40">
        <v>0.16252404631039186</v>
      </c>
    </row>
    <row r="164" spans="1:10" ht="11.25" customHeight="1" x14ac:dyDescent="0.2">
      <c r="A164" s="43" t="s">
        <v>23</v>
      </c>
      <c r="B164" s="39">
        <v>0</v>
      </c>
      <c r="C164" s="39">
        <v>0</v>
      </c>
      <c r="D164" s="39">
        <v>7204991.4241644982</v>
      </c>
      <c r="E164" s="39">
        <v>8853986.4258585796</v>
      </c>
      <c r="F164" s="39">
        <v>3031422.9408024997</v>
      </c>
      <c r="G164" s="39">
        <v>2721709.8697739611</v>
      </c>
      <c r="H164" s="40">
        <v>0.22886841976849515</v>
      </c>
      <c r="I164" s="40">
        <v>-0.10216755532850419</v>
      </c>
      <c r="J164" s="40">
        <v>0.13083506420461966</v>
      </c>
    </row>
    <row r="165" spans="1:10" ht="11.25" customHeight="1" x14ac:dyDescent="0.2">
      <c r="A165" s="44" t="s">
        <v>24</v>
      </c>
      <c r="B165" s="39">
        <v>0</v>
      </c>
      <c r="C165" s="39">
        <v>0</v>
      </c>
      <c r="D165" s="39">
        <v>7204991.4241644982</v>
      </c>
      <c r="E165" s="39">
        <v>8853986.4258585796</v>
      </c>
      <c r="F165" s="39">
        <v>3031422.9408024997</v>
      </c>
      <c r="G165" s="39">
        <v>2721709.8697739611</v>
      </c>
      <c r="H165" s="40">
        <v>0.22886841976849515</v>
      </c>
      <c r="I165" s="40">
        <v>-0.10216755532850419</v>
      </c>
      <c r="J165" s="40">
        <v>0.13083506420461966</v>
      </c>
    </row>
    <row r="166" spans="1:10" ht="11.25" customHeight="1" x14ac:dyDescent="0.2">
      <c r="A166" s="45" t="s">
        <v>24</v>
      </c>
      <c r="B166" s="39">
        <v>0</v>
      </c>
      <c r="C166" s="39">
        <v>0</v>
      </c>
      <c r="D166" s="39">
        <v>7069192.8815199994</v>
      </c>
      <c r="E166" s="39">
        <v>8695321.0430962779</v>
      </c>
      <c r="F166" s="39">
        <v>2964222.2453800007</v>
      </c>
      <c r="G166" s="39">
        <v>2661376.499189131</v>
      </c>
      <c r="H166" s="40">
        <v>0.23003024373931602</v>
      </c>
      <c r="I166" s="40">
        <v>-0.10216701755844371</v>
      </c>
      <c r="J166" s="40">
        <v>0.13188753765780503</v>
      </c>
    </row>
    <row r="167" spans="1:10" ht="11.25" customHeight="1" x14ac:dyDescent="0.2">
      <c r="A167" s="46" t="s">
        <v>25</v>
      </c>
      <c r="B167" s="39">
        <v>0</v>
      </c>
      <c r="C167" s="39">
        <v>0</v>
      </c>
      <c r="D167" s="39">
        <v>7069192.8815199994</v>
      </c>
      <c r="E167" s="39">
        <v>8695321.0430962779</v>
      </c>
      <c r="F167" s="39">
        <v>2964222.2453800007</v>
      </c>
      <c r="G167" s="39">
        <v>2661376.499189131</v>
      </c>
      <c r="H167" s="40">
        <v>0.23003024373931602</v>
      </c>
      <c r="I167" s="40">
        <v>-0.10216701755844371</v>
      </c>
      <c r="J167" s="40">
        <v>0.13188753765780503</v>
      </c>
    </row>
    <row r="168" spans="1:10" ht="11.25" customHeight="1" x14ac:dyDescent="0.2">
      <c r="A168" s="47" t="s">
        <v>25</v>
      </c>
      <c r="B168" s="39">
        <v>0</v>
      </c>
      <c r="C168" s="39">
        <v>0</v>
      </c>
      <c r="D168" s="39">
        <v>7069192.8815199994</v>
      </c>
      <c r="E168" s="39">
        <v>8695321.0430962779</v>
      </c>
      <c r="F168" s="39">
        <v>2964222.2453800007</v>
      </c>
      <c r="G168" s="39">
        <v>2661376.499189131</v>
      </c>
      <c r="H168" s="40">
        <v>0.23003024373931602</v>
      </c>
      <c r="I168" s="40">
        <v>-0.10216701755844371</v>
      </c>
      <c r="J168" s="40">
        <v>0.13188753765780503</v>
      </c>
    </row>
    <row r="169" spans="1:10" ht="11.25" customHeight="1" x14ac:dyDescent="0.2">
      <c r="A169" s="48" t="s">
        <v>25</v>
      </c>
      <c r="B169" s="39">
        <v>0</v>
      </c>
      <c r="C169" s="39">
        <v>0</v>
      </c>
      <c r="D169" s="39">
        <v>7069192.8815199994</v>
      </c>
      <c r="E169" s="39">
        <v>8695321.0430962779</v>
      </c>
      <c r="F169" s="39">
        <v>2964222.2453800007</v>
      </c>
      <c r="G169" s="39">
        <v>2661376.499189131</v>
      </c>
      <c r="H169" s="40">
        <v>0.23003024373931602</v>
      </c>
      <c r="I169" s="40">
        <v>-0.10216701755844371</v>
      </c>
      <c r="J169" s="40">
        <v>0.13188753765780503</v>
      </c>
    </row>
    <row r="170" spans="1:10" ht="11.25" customHeight="1" x14ac:dyDescent="0.2">
      <c r="A170" s="49">
        <v>44440</v>
      </c>
      <c r="B170" s="39">
        <v>0</v>
      </c>
      <c r="C170" s="39">
        <v>0</v>
      </c>
      <c r="D170" s="39">
        <v>542354.02255999995</v>
      </c>
      <c r="E170" s="39">
        <v>667111.85056247516</v>
      </c>
      <c r="F170" s="39">
        <v>227417.45564</v>
      </c>
      <c r="G170" s="39">
        <v>204182.89245653144</v>
      </c>
      <c r="H170" s="40">
        <v>0.2300302437393158</v>
      </c>
      <c r="I170" s="40">
        <v>-0.10216701755844415</v>
      </c>
      <c r="J170" s="40">
        <v>0.13188753765780481</v>
      </c>
    </row>
    <row r="171" spans="1:10" ht="11.25" customHeight="1" x14ac:dyDescent="0.2">
      <c r="A171" s="49">
        <v>44470</v>
      </c>
      <c r="B171" s="39">
        <v>0</v>
      </c>
      <c r="C171" s="39">
        <v>0</v>
      </c>
      <c r="D171" s="39">
        <v>540493.59056000004</v>
      </c>
      <c r="E171" s="39">
        <v>664823.46293605468</v>
      </c>
      <c r="F171" s="39">
        <v>226637.34764000002</v>
      </c>
      <c r="G171" s="39">
        <v>203482.48576426494</v>
      </c>
      <c r="H171" s="40">
        <v>0.23003024373931558</v>
      </c>
      <c r="I171" s="40">
        <v>-0.10216701755844404</v>
      </c>
      <c r="J171" s="40">
        <v>0.13188753765780459</v>
      </c>
    </row>
    <row r="172" spans="1:10" ht="11.25" customHeight="1" x14ac:dyDescent="0.2">
      <c r="A172" s="49">
        <v>44501</v>
      </c>
      <c r="B172" s="39">
        <v>0</v>
      </c>
      <c r="C172" s="39">
        <v>0</v>
      </c>
      <c r="D172" s="39">
        <v>535420.36967999989</v>
      </c>
      <c r="E172" s="39">
        <v>658583.2478204848</v>
      </c>
      <c r="F172" s="39">
        <v>224510.06741999998</v>
      </c>
      <c r="G172" s="39">
        <v>201572.54341985341</v>
      </c>
      <c r="H172" s="40">
        <v>0.2300302437393158</v>
      </c>
      <c r="I172" s="40">
        <v>-0.10216701755844393</v>
      </c>
      <c r="J172" s="40">
        <v>0.13188753765780481</v>
      </c>
    </row>
    <row r="173" spans="1:10" ht="11.25" customHeight="1" x14ac:dyDescent="0.2">
      <c r="A173" s="49">
        <v>44531</v>
      </c>
      <c r="B173" s="39">
        <v>0</v>
      </c>
      <c r="C173" s="39">
        <v>0</v>
      </c>
      <c r="D173" s="39">
        <v>526023.85919999995</v>
      </c>
      <c r="E173" s="39">
        <v>647025.25574447133</v>
      </c>
      <c r="F173" s="39">
        <v>220569.96480000002</v>
      </c>
      <c r="G173" s="39">
        <v>198034.98933341302</v>
      </c>
      <c r="H173" s="40">
        <v>0.23003024373931558</v>
      </c>
      <c r="I173" s="40">
        <v>-0.10216701755844415</v>
      </c>
      <c r="J173" s="40">
        <v>0.13188753765780459</v>
      </c>
    </row>
    <row r="174" spans="1:10" ht="11.25" customHeight="1" x14ac:dyDescent="0.2">
      <c r="A174" s="49">
        <v>44562</v>
      </c>
      <c r="B174" s="39">
        <v>0</v>
      </c>
      <c r="C174" s="39">
        <v>0</v>
      </c>
      <c r="D174" s="39">
        <v>678778.17223999999</v>
      </c>
      <c r="E174" s="39">
        <v>834917.68064529425</v>
      </c>
      <c r="F174" s="39">
        <v>284622.21806000004</v>
      </c>
      <c r="G174" s="39">
        <v>255543.2149099407</v>
      </c>
      <c r="H174" s="40">
        <v>0.23003024373931558</v>
      </c>
      <c r="I174" s="40">
        <v>-0.10216701755844415</v>
      </c>
      <c r="J174" s="40">
        <v>0.13188753765780459</v>
      </c>
    </row>
    <row r="175" spans="1:10" ht="11.25" customHeight="1" x14ac:dyDescent="0.2">
      <c r="A175" s="49">
        <v>44593</v>
      </c>
      <c r="B175" s="39">
        <v>0</v>
      </c>
      <c r="C175" s="39">
        <v>0</v>
      </c>
      <c r="D175" s="39">
        <v>706053.87719999999</v>
      </c>
      <c r="E175" s="39">
        <v>868467.62266540457</v>
      </c>
      <c r="F175" s="39">
        <v>296059.34430000006</v>
      </c>
      <c r="G175" s="39">
        <v>265811.84407256043</v>
      </c>
      <c r="H175" s="40">
        <v>0.23003024373931535</v>
      </c>
      <c r="I175" s="40">
        <v>-0.10216701755844437</v>
      </c>
      <c r="J175" s="40">
        <v>0.13188753765780459</v>
      </c>
    </row>
    <row r="176" spans="1:10" ht="11.25" customHeight="1" x14ac:dyDescent="0.2">
      <c r="A176" s="49">
        <v>44621</v>
      </c>
      <c r="B176" s="39">
        <v>0</v>
      </c>
      <c r="C176" s="39">
        <v>0</v>
      </c>
      <c r="D176" s="39">
        <v>654719.24279999989</v>
      </c>
      <c r="E176" s="39">
        <v>805324.46980210405</v>
      </c>
      <c r="F176" s="39">
        <v>274533.93570000003</v>
      </c>
      <c r="G176" s="39">
        <v>246485.62227094933</v>
      </c>
      <c r="H176" s="40">
        <v>0.23003024373931558</v>
      </c>
      <c r="I176" s="40">
        <v>-0.10216701755844426</v>
      </c>
      <c r="J176" s="40">
        <v>0.13188753765780459</v>
      </c>
    </row>
    <row r="177" spans="1:10" ht="11.25" customHeight="1" x14ac:dyDescent="0.2">
      <c r="A177" s="49">
        <v>44652</v>
      </c>
      <c r="B177" s="39">
        <v>0</v>
      </c>
      <c r="C177" s="39">
        <v>0</v>
      </c>
      <c r="D177" s="39">
        <v>615463.24167999998</v>
      </c>
      <c r="E177" s="39">
        <v>757038.40117623971</v>
      </c>
      <c r="F177" s="39">
        <v>258073.28542000003</v>
      </c>
      <c r="G177" s="39">
        <v>231706.70753712955</v>
      </c>
      <c r="H177" s="40">
        <v>0.23003024373931558</v>
      </c>
      <c r="I177" s="40">
        <v>-0.10216701755844404</v>
      </c>
      <c r="J177" s="40">
        <v>0.13188753765780459</v>
      </c>
    </row>
    <row r="178" spans="1:10" ht="11.25" customHeight="1" x14ac:dyDescent="0.2">
      <c r="A178" s="49">
        <v>44682</v>
      </c>
      <c r="B178" s="39">
        <v>0</v>
      </c>
      <c r="C178" s="39">
        <v>0</v>
      </c>
      <c r="D178" s="39">
        <v>557227.29047999997</v>
      </c>
      <c r="E178" s="39">
        <v>685406.41992731288</v>
      </c>
      <c r="F178" s="39">
        <v>233654.04762</v>
      </c>
      <c r="G178" s="39">
        <v>209782.31043420592</v>
      </c>
      <c r="H178" s="40">
        <v>0.2300302437393158</v>
      </c>
      <c r="I178" s="40">
        <v>-0.10216701755844415</v>
      </c>
      <c r="J178" s="40">
        <v>0.13188753765780481</v>
      </c>
    </row>
    <row r="179" spans="1:10" ht="11.25" customHeight="1" x14ac:dyDescent="0.2">
      <c r="A179" s="49">
        <v>44713</v>
      </c>
      <c r="B179" s="39">
        <v>0</v>
      </c>
      <c r="C179" s="39">
        <v>0</v>
      </c>
      <c r="D179" s="39">
        <v>588606.57687999995</v>
      </c>
      <c r="E179" s="39">
        <v>724003.89122627059</v>
      </c>
      <c r="F179" s="39">
        <v>246811.86922000002</v>
      </c>
      <c r="G179" s="39">
        <v>221595.83664376789</v>
      </c>
      <c r="H179" s="40">
        <v>0.23003024373931558</v>
      </c>
      <c r="I179" s="40">
        <v>-0.10216701755844404</v>
      </c>
      <c r="J179" s="40">
        <v>0.13188753765780481</v>
      </c>
    </row>
    <row r="180" spans="1:10" ht="11.25" customHeight="1" x14ac:dyDescent="0.2">
      <c r="A180" s="49">
        <v>44743</v>
      </c>
      <c r="B180" s="39">
        <v>0</v>
      </c>
      <c r="C180" s="39">
        <v>0</v>
      </c>
      <c r="D180" s="39">
        <v>516074.53463999997</v>
      </c>
      <c r="E180" s="39">
        <v>634787.28563089308</v>
      </c>
      <c r="F180" s="39">
        <v>216398.05866000001</v>
      </c>
      <c r="G180" s="39">
        <v>194289.31440127059</v>
      </c>
      <c r="H180" s="40">
        <v>0.2300302437393158</v>
      </c>
      <c r="I180" s="40">
        <v>-0.10216701755844404</v>
      </c>
      <c r="J180" s="40">
        <v>0.13188753765780481</v>
      </c>
    </row>
    <row r="181" spans="1:10" ht="11.25" customHeight="1" x14ac:dyDescent="0.2">
      <c r="A181" s="49">
        <v>44774</v>
      </c>
      <c r="B181" s="39">
        <v>0</v>
      </c>
      <c r="C181" s="39">
        <v>0</v>
      </c>
      <c r="D181" s="39">
        <v>607978.10360000003</v>
      </c>
      <c r="E181" s="39">
        <v>747831.45495927485</v>
      </c>
      <c r="F181" s="39">
        <v>254934.65090000004</v>
      </c>
      <c r="G181" s="39">
        <v>228888.73794524389</v>
      </c>
      <c r="H181" s="40">
        <v>0.23003024373931558</v>
      </c>
      <c r="I181" s="40">
        <v>-0.10216701755844415</v>
      </c>
      <c r="J181" s="40">
        <v>0.13188753765780459</v>
      </c>
    </row>
    <row r="182" spans="1:10" ht="11.25" customHeight="1" x14ac:dyDescent="0.2">
      <c r="A182" s="45" t="s">
        <v>29</v>
      </c>
      <c r="B182" s="39">
        <v>0</v>
      </c>
      <c r="C182" s="39">
        <v>0</v>
      </c>
      <c r="D182" s="39">
        <v>11286.3448305</v>
      </c>
      <c r="E182" s="39">
        <v>13187.144092109365</v>
      </c>
      <c r="F182" s="39">
        <v>5585.1813765000006</v>
      </c>
      <c r="G182" s="39">
        <v>5014.4829175292507</v>
      </c>
      <c r="H182" s="40">
        <v>0.16841584145760646</v>
      </c>
      <c r="I182" s="40">
        <v>-0.10218082824883701</v>
      </c>
      <c r="J182" s="40">
        <v>7.8837017251394359E-2</v>
      </c>
    </row>
    <row r="183" spans="1:10" ht="11.25" customHeight="1" x14ac:dyDescent="0.2">
      <c r="A183" s="46" t="s">
        <v>25</v>
      </c>
      <c r="B183" s="39">
        <v>0</v>
      </c>
      <c r="C183" s="39">
        <v>0</v>
      </c>
      <c r="D183" s="39">
        <v>11286.3448305</v>
      </c>
      <c r="E183" s="39">
        <v>13187.144092109365</v>
      </c>
      <c r="F183" s="39">
        <v>5585.1813765000006</v>
      </c>
      <c r="G183" s="39">
        <v>5014.4829175292507</v>
      </c>
      <c r="H183" s="40">
        <v>0.16841584145760646</v>
      </c>
      <c r="I183" s="40">
        <v>-0.10218082824883701</v>
      </c>
      <c r="J183" s="40">
        <v>7.8837017251394359E-2</v>
      </c>
    </row>
    <row r="184" spans="1:10" ht="11.25" customHeight="1" x14ac:dyDescent="0.2">
      <c r="A184" s="47" t="s">
        <v>25</v>
      </c>
      <c r="B184" s="39">
        <v>0</v>
      </c>
      <c r="C184" s="39">
        <v>0</v>
      </c>
      <c r="D184" s="39">
        <v>11286.3448305</v>
      </c>
      <c r="E184" s="39">
        <v>13187.144092109365</v>
      </c>
      <c r="F184" s="39">
        <v>5585.1813765000006</v>
      </c>
      <c r="G184" s="39">
        <v>5014.4829175292507</v>
      </c>
      <c r="H184" s="40">
        <v>0.16841584145760646</v>
      </c>
      <c r="I184" s="40">
        <v>-0.10218082824883701</v>
      </c>
      <c r="J184" s="40">
        <v>7.8837017251394359E-2</v>
      </c>
    </row>
    <row r="185" spans="1:10" ht="11.25" customHeight="1" x14ac:dyDescent="0.2">
      <c r="A185" s="48" t="s">
        <v>25</v>
      </c>
      <c r="B185" s="39">
        <v>0</v>
      </c>
      <c r="C185" s="39">
        <v>0</v>
      </c>
      <c r="D185" s="39">
        <v>11286.3448305</v>
      </c>
      <c r="E185" s="39">
        <v>13187.144092109365</v>
      </c>
      <c r="F185" s="39">
        <v>5585.1813765000006</v>
      </c>
      <c r="G185" s="39">
        <v>5014.4829175292507</v>
      </c>
      <c r="H185" s="40">
        <v>0.16841584145760646</v>
      </c>
      <c r="I185" s="40">
        <v>-0.10218082824883701</v>
      </c>
      <c r="J185" s="40">
        <v>7.8837017251394359E-2</v>
      </c>
    </row>
    <row r="186" spans="1:10" ht="11.25" customHeight="1" x14ac:dyDescent="0.2">
      <c r="A186" s="49">
        <v>44440</v>
      </c>
      <c r="B186" s="39">
        <v>0</v>
      </c>
      <c r="C186" s="39">
        <v>0</v>
      </c>
      <c r="D186" s="39">
        <v>792.16110000000003</v>
      </c>
      <c r="E186" s="39">
        <v>925.57357822648328</v>
      </c>
      <c r="F186" s="39">
        <v>392.01030000000003</v>
      </c>
      <c r="G186" s="39">
        <v>351.95436286392493</v>
      </c>
      <c r="H186" s="40">
        <v>0.16841584145760669</v>
      </c>
      <c r="I186" s="40">
        <v>-0.10218082824883712</v>
      </c>
      <c r="J186" s="40">
        <v>7.8837017251394581E-2</v>
      </c>
    </row>
    <row r="187" spans="1:10" ht="11.25" customHeight="1" x14ac:dyDescent="0.2">
      <c r="A187" s="49">
        <v>44470</v>
      </c>
      <c r="B187" s="39">
        <v>0</v>
      </c>
      <c r="C187" s="39">
        <v>0</v>
      </c>
      <c r="D187" s="39">
        <v>788.22</v>
      </c>
      <c r="E187" s="39">
        <v>920.96873455371463</v>
      </c>
      <c r="F187" s="39">
        <v>390.06000000000006</v>
      </c>
      <c r="G187" s="39">
        <v>350.20334613325866</v>
      </c>
      <c r="H187" s="40">
        <v>0.16841584145760646</v>
      </c>
      <c r="I187" s="40">
        <v>-0.10218082824883712</v>
      </c>
      <c r="J187" s="40">
        <v>7.8837017251394359E-2</v>
      </c>
    </row>
    <row r="188" spans="1:10" ht="11.25" customHeight="1" x14ac:dyDescent="0.2">
      <c r="A188" s="49">
        <v>44501</v>
      </c>
      <c r="B188" s="39">
        <v>0</v>
      </c>
      <c r="C188" s="39">
        <v>0</v>
      </c>
      <c r="D188" s="39">
        <v>792.88363500000003</v>
      </c>
      <c r="E188" s="39">
        <v>926.41779956649077</v>
      </c>
      <c r="F188" s="39">
        <v>392.36785500000008</v>
      </c>
      <c r="G188" s="39">
        <v>352.27538259788042</v>
      </c>
      <c r="H188" s="40">
        <v>0.16841584145760646</v>
      </c>
      <c r="I188" s="40">
        <v>-0.10218082824883712</v>
      </c>
      <c r="J188" s="40">
        <v>7.8837017251394581E-2</v>
      </c>
    </row>
    <row r="189" spans="1:10" ht="11.25" customHeight="1" x14ac:dyDescent="0.2">
      <c r="A189" s="49">
        <v>44531</v>
      </c>
      <c r="B189" s="39">
        <v>0</v>
      </c>
      <c r="C189" s="39">
        <v>0</v>
      </c>
      <c r="D189" s="39">
        <v>792.16110000000003</v>
      </c>
      <c r="E189" s="39">
        <v>925.57357822648328</v>
      </c>
      <c r="F189" s="39">
        <v>392.01030000000003</v>
      </c>
      <c r="G189" s="39">
        <v>351.95436286392493</v>
      </c>
      <c r="H189" s="40">
        <v>0.16841584145760669</v>
      </c>
      <c r="I189" s="40">
        <v>-0.10218082824883712</v>
      </c>
      <c r="J189" s="40">
        <v>7.8837017251394581E-2</v>
      </c>
    </row>
    <row r="190" spans="1:10" ht="11.25" customHeight="1" x14ac:dyDescent="0.2">
      <c r="A190" s="49">
        <v>44562</v>
      </c>
      <c r="B190" s="39">
        <v>0</v>
      </c>
      <c r="C190" s="39">
        <v>0</v>
      </c>
      <c r="D190" s="39">
        <v>784.27890000000002</v>
      </c>
      <c r="E190" s="39">
        <v>916.36389088094597</v>
      </c>
      <c r="F190" s="39">
        <v>388.10970000000003</v>
      </c>
      <c r="G190" s="39">
        <v>348.45232940259234</v>
      </c>
      <c r="H190" s="40">
        <v>0.16841584145760646</v>
      </c>
      <c r="I190" s="40">
        <v>-0.10218082824883712</v>
      </c>
      <c r="J190" s="40">
        <v>7.8837017251394581E-2</v>
      </c>
    </row>
    <row r="191" spans="1:10" ht="11.25" customHeight="1" x14ac:dyDescent="0.2">
      <c r="A191" s="49">
        <v>44593</v>
      </c>
      <c r="B191" s="39">
        <v>0</v>
      </c>
      <c r="C191" s="39">
        <v>0</v>
      </c>
      <c r="D191" s="39">
        <v>760.04113500000005</v>
      </c>
      <c r="E191" s="39">
        <v>888.04410229341931</v>
      </c>
      <c r="F191" s="39">
        <v>376.11535500000008</v>
      </c>
      <c r="G191" s="39">
        <v>337.68357650899463</v>
      </c>
      <c r="H191" s="40">
        <v>0.16841584145760646</v>
      </c>
      <c r="I191" s="40">
        <v>-0.10218082824883723</v>
      </c>
      <c r="J191" s="40">
        <v>7.8837017251394581E-2</v>
      </c>
    </row>
    <row r="192" spans="1:10" ht="11.25" customHeight="1" x14ac:dyDescent="0.2">
      <c r="A192" s="49">
        <v>44621</v>
      </c>
      <c r="B192" s="39">
        <v>0</v>
      </c>
      <c r="C192" s="39">
        <v>0</v>
      </c>
      <c r="D192" s="39">
        <v>860.53918499999997</v>
      </c>
      <c r="E192" s="39">
        <v>1005.467615949018</v>
      </c>
      <c r="F192" s="39">
        <v>425.84800500000006</v>
      </c>
      <c r="G192" s="39">
        <v>382.33450314098513</v>
      </c>
      <c r="H192" s="40">
        <v>0.16841584145760669</v>
      </c>
      <c r="I192" s="40">
        <v>-0.10218082824883712</v>
      </c>
      <c r="J192" s="40">
        <v>7.8837017251394803E-2</v>
      </c>
    </row>
    <row r="193" spans="1:10" ht="11.25" customHeight="1" x14ac:dyDescent="0.2">
      <c r="A193" s="49">
        <v>44652</v>
      </c>
      <c r="B193" s="39">
        <v>0</v>
      </c>
      <c r="C193" s="39">
        <v>0</v>
      </c>
      <c r="D193" s="39">
        <v>1447.6514205000001</v>
      </c>
      <c r="E193" s="39">
        <v>1691.4588526208067</v>
      </c>
      <c r="F193" s="39">
        <v>716.38744650000001</v>
      </c>
      <c r="G193" s="39">
        <v>643.18638386956059</v>
      </c>
      <c r="H193" s="40">
        <v>0.16841584145760646</v>
      </c>
      <c r="I193" s="40">
        <v>-0.10218082824883701</v>
      </c>
      <c r="J193" s="40">
        <v>7.8837017251394359E-2</v>
      </c>
    </row>
    <row r="194" spans="1:10" ht="11.25" customHeight="1" x14ac:dyDescent="0.2">
      <c r="A194" s="49">
        <v>44682</v>
      </c>
      <c r="B194" s="39">
        <v>0</v>
      </c>
      <c r="C194" s="39">
        <v>0</v>
      </c>
      <c r="D194" s="39">
        <v>1115.5283550000001</v>
      </c>
      <c r="E194" s="39">
        <v>1303.4010015771446</v>
      </c>
      <c r="F194" s="39">
        <v>552.03241500000001</v>
      </c>
      <c r="G194" s="39">
        <v>495.6252856150943</v>
      </c>
      <c r="H194" s="40">
        <v>0.16841584145760646</v>
      </c>
      <c r="I194" s="40">
        <v>-0.10218082824883701</v>
      </c>
      <c r="J194" s="40">
        <v>7.8837017251394581E-2</v>
      </c>
    </row>
    <row r="195" spans="1:10" ht="11.25" customHeight="1" x14ac:dyDescent="0.2">
      <c r="A195" s="49">
        <v>44713</v>
      </c>
      <c r="B195" s="39">
        <v>0</v>
      </c>
      <c r="C195" s="39">
        <v>0</v>
      </c>
      <c r="D195" s="39">
        <v>1142.9189999999999</v>
      </c>
      <c r="E195" s="39">
        <v>1335.4046651028862</v>
      </c>
      <c r="F195" s="39">
        <v>565.58699999999999</v>
      </c>
      <c r="G195" s="39">
        <v>507.79485189322497</v>
      </c>
      <c r="H195" s="40">
        <v>0.16841584145760669</v>
      </c>
      <c r="I195" s="40">
        <v>-0.10218082824883712</v>
      </c>
      <c r="J195" s="40">
        <v>7.8837017251394581E-2</v>
      </c>
    </row>
    <row r="196" spans="1:10" ht="11.25" customHeight="1" x14ac:dyDescent="0.2">
      <c r="A196" s="49">
        <v>44743</v>
      </c>
      <c r="B196" s="39">
        <v>0</v>
      </c>
      <c r="C196" s="39">
        <v>0</v>
      </c>
      <c r="D196" s="39">
        <v>1123.2135000000001</v>
      </c>
      <c r="E196" s="39">
        <v>1312.3804467390435</v>
      </c>
      <c r="F196" s="39">
        <v>555.83550000000014</v>
      </c>
      <c r="G196" s="39">
        <v>499.03976823989359</v>
      </c>
      <c r="H196" s="40">
        <v>0.16841584145760669</v>
      </c>
      <c r="I196" s="40">
        <v>-0.10218082824883712</v>
      </c>
      <c r="J196" s="40">
        <v>7.8837017251394581E-2</v>
      </c>
    </row>
    <row r="197" spans="1:10" ht="11.25" customHeight="1" x14ac:dyDescent="0.2">
      <c r="A197" s="49">
        <v>44774</v>
      </c>
      <c r="B197" s="39">
        <v>0</v>
      </c>
      <c r="C197" s="39">
        <v>0</v>
      </c>
      <c r="D197" s="39">
        <v>886.74750000000006</v>
      </c>
      <c r="E197" s="39">
        <v>1036.0898263729289</v>
      </c>
      <c r="F197" s="39">
        <v>438.81750000000005</v>
      </c>
      <c r="G197" s="39">
        <v>393.97876439991597</v>
      </c>
      <c r="H197" s="40">
        <v>0.16841584145760646</v>
      </c>
      <c r="I197" s="40">
        <v>-0.10218082824883712</v>
      </c>
      <c r="J197" s="40">
        <v>7.8837017251394581E-2</v>
      </c>
    </row>
    <row r="198" spans="1:10" ht="11.25" customHeight="1" x14ac:dyDescent="0.2">
      <c r="A198" s="45" t="s">
        <v>30</v>
      </c>
      <c r="B198" s="39">
        <v>0</v>
      </c>
      <c r="C198" s="39">
        <v>0</v>
      </c>
      <c r="D198" s="39">
        <v>38785.621158000002</v>
      </c>
      <c r="E198" s="39">
        <v>45316.87179174109</v>
      </c>
      <c r="F198" s="39">
        <v>19193.896710000001</v>
      </c>
      <c r="G198" s="39">
        <v>17231.985780114454</v>
      </c>
      <c r="H198" s="40">
        <v>0.16839360667023739</v>
      </c>
      <c r="I198" s="40">
        <v>-0.10221535311604513</v>
      </c>
      <c r="J198" s="40">
        <v>7.8809549852732586E-2</v>
      </c>
    </row>
    <row r="199" spans="1:10" ht="11.25" customHeight="1" x14ac:dyDescent="0.2">
      <c r="A199" s="46" t="s">
        <v>25</v>
      </c>
      <c r="B199" s="39">
        <v>0</v>
      </c>
      <c r="C199" s="39">
        <v>0</v>
      </c>
      <c r="D199" s="39">
        <v>38785.621158000002</v>
      </c>
      <c r="E199" s="39">
        <v>45316.87179174109</v>
      </c>
      <c r="F199" s="39">
        <v>19193.896710000001</v>
      </c>
      <c r="G199" s="39">
        <v>17231.985780114454</v>
      </c>
      <c r="H199" s="40">
        <v>0.16839360667023739</v>
      </c>
      <c r="I199" s="40">
        <v>-0.10221535311604513</v>
      </c>
      <c r="J199" s="40">
        <v>7.8809549852732586E-2</v>
      </c>
    </row>
    <row r="200" spans="1:10" ht="11.25" customHeight="1" x14ac:dyDescent="0.2">
      <c r="A200" s="47" t="s">
        <v>25</v>
      </c>
      <c r="B200" s="39">
        <v>0</v>
      </c>
      <c r="C200" s="39">
        <v>0</v>
      </c>
      <c r="D200" s="39">
        <v>38785.621158000002</v>
      </c>
      <c r="E200" s="39">
        <v>45316.87179174109</v>
      </c>
      <c r="F200" s="39">
        <v>19193.896710000001</v>
      </c>
      <c r="G200" s="39">
        <v>17231.985780114454</v>
      </c>
      <c r="H200" s="40">
        <v>0.16839360667023739</v>
      </c>
      <c r="I200" s="40">
        <v>-0.10221535311604513</v>
      </c>
      <c r="J200" s="40">
        <v>7.8809549852732586E-2</v>
      </c>
    </row>
    <row r="201" spans="1:10" ht="11.25" customHeight="1" x14ac:dyDescent="0.2">
      <c r="A201" s="48" t="s">
        <v>25</v>
      </c>
      <c r="B201" s="39">
        <v>0</v>
      </c>
      <c r="C201" s="39">
        <v>0</v>
      </c>
      <c r="D201" s="39">
        <v>38785.621158000002</v>
      </c>
      <c r="E201" s="39">
        <v>45316.87179174109</v>
      </c>
      <c r="F201" s="39">
        <v>19193.896710000001</v>
      </c>
      <c r="G201" s="39">
        <v>17231.985780114454</v>
      </c>
      <c r="H201" s="40">
        <v>0.16839360667023739</v>
      </c>
      <c r="I201" s="40">
        <v>-0.10221535311604513</v>
      </c>
      <c r="J201" s="40">
        <v>7.8809549852732586E-2</v>
      </c>
    </row>
    <row r="202" spans="1:10" ht="11.25" customHeight="1" x14ac:dyDescent="0.2">
      <c r="A202" s="49">
        <v>44440</v>
      </c>
      <c r="B202" s="39">
        <v>0</v>
      </c>
      <c r="C202" s="39">
        <v>0</v>
      </c>
      <c r="D202" s="39">
        <v>2737.4275499999999</v>
      </c>
      <c r="E202" s="39">
        <v>3198.3928481429716</v>
      </c>
      <c r="F202" s="39">
        <v>1354.6747499999999</v>
      </c>
      <c r="G202" s="39">
        <v>1216.2061920713597</v>
      </c>
      <c r="H202" s="40">
        <v>0.16839360667023739</v>
      </c>
      <c r="I202" s="40">
        <v>-0.10221535311604513</v>
      </c>
      <c r="J202" s="40">
        <v>7.8809549852732586E-2</v>
      </c>
    </row>
    <row r="203" spans="1:10" ht="11.25" customHeight="1" x14ac:dyDescent="0.2">
      <c r="A203" s="49">
        <v>44470</v>
      </c>
      <c r="B203" s="39">
        <v>0</v>
      </c>
      <c r="C203" s="39">
        <v>0</v>
      </c>
      <c r="D203" s="39">
        <v>2733.3737700000001</v>
      </c>
      <c r="E203" s="39">
        <v>3193.6564375081243</v>
      </c>
      <c r="F203" s="39">
        <v>1352.6686500000001</v>
      </c>
      <c r="G203" s="39">
        <v>1214.405146291246</v>
      </c>
      <c r="H203" s="40">
        <v>0.16839360667023739</v>
      </c>
      <c r="I203" s="40">
        <v>-0.10221535311604513</v>
      </c>
      <c r="J203" s="40">
        <v>7.8809549852732586E-2</v>
      </c>
    </row>
    <row r="204" spans="1:10" ht="11.25" customHeight="1" x14ac:dyDescent="0.2">
      <c r="A204" s="49">
        <v>44501</v>
      </c>
      <c r="B204" s="39">
        <v>0</v>
      </c>
      <c r="C204" s="39">
        <v>0</v>
      </c>
      <c r="D204" s="39">
        <v>2710.3573080000001</v>
      </c>
      <c r="E204" s="39">
        <v>3166.7641504591561</v>
      </c>
      <c r="F204" s="39">
        <v>1341.2784600000002</v>
      </c>
      <c r="G204" s="39">
        <v>1204.1792085841546</v>
      </c>
      <c r="H204" s="40">
        <v>0.16839360667023762</v>
      </c>
      <c r="I204" s="40">
        <v>-0.10221535311604546</v>
      </c>
      <c r="J204" s="40">
        <v>7.8809549852732586E-2</v>
      </c>
    </row>
    <row r="205" spans="1:10" ht="11.25" customHeight="1" x14ac:dyDescent="0.2">
      <c r="A205" s="49">
        <v>44531</v>
      </c>
      <c r="B205" s="39">
        <v>0</v>
      </c>
      <c r="C205" s="39">
        <v>0</v>
      </c>
      <c r="D205" s="39">
        <v>2771.43426</v>
      </c>
      <c r="E205" s="39">
        <v>3238.1260706908606</v>
      </c>
      <c r="F205" s="39">
        <v>1371.5037</v>
      </c>
      <c r="G205" s="39">
        <v>1231.3149650045373</v>
      </c>
      <c r="H205" s="40">
        <v>0.16839360667023739</v>
      </c>
      <c r="I205" s="40">
        <v>-0.10221535311604535</v>
      </c>
      <c r="J205" s="40">
        <v>7.8809549852732363E-2</v>
      </c>
    </row>
    <row r="206" spans="1:10" ht="11.25" customHeight="1" x14ac:dyDescent="0.2">
      <c r="A206" s="49">
        <v>44562</v>
      </c>
      <c r="B206" s="39">
        <v>0</v>
      </c>
      <c r="C206" s="39">
        <v>0</v>
      </c>
      <c r="D206" s="39">
        <v>2798.2342500000004</v>
      </c>
      <c r="E206" s="39">
        <v>3269.4390076656873</v>
      </c>
      <c r="F206" s="39">
        <v>1384.7662500000001</v>
      </c>
      <c r="G206" s="39">
        <v>1243.2218787730683</v>
      </c>
      <c r="H206" s="40">
        <v>0.16839360667023739</v>
      </c>
      <c r="I206" s="40">
        <v>-0.10221535311604524</v>
      </c>
      <c r="J206" s="40">
        <v>7.8809549852732586E-2</v>
      </c>
    </row>
    <row r="207" spans="1:10" ht="11.25" customHeight="1" x14ac:dyDescent="0.2">
      <c r="A207" s="49">
        <v>44593</v>
      </c>
      <c r="B207" s="39">
        <v>0</v>
      </c>
      <c r="C207" s="39">
        <v>0</v>
      </c>
      <c r="D207" s="39">
        <v>2877.7333800000001</v>
      </c>
      <c r="E207" s="39">
        <v>3362.3252828935333</v>
      </c>
      <c r="F207" s="39">
        <v>1424.1081000000001</v>
      </c>
      <c r="G207" s="39">
        <v>1278.5423876830798</v>
      </c>
      <c r="H207" s="40">
        <v>0.16839360667023762</v>
      </c>
      <c r="I207" s="40">
        <v>-0.10221535311604524</v>
      </c>
      <c r="J207" s="40">
        <v>7.8809549852732586E-2</v>
      </c>
    </row>
    <row r="208" spans="1:10" ht="11.25" customHeight="1" x14ac:dyDescent="0.2">
      <c r="A208" s="49">
        <v>44621</v>
      </c>
      <c r="B208" s="39">
        <v>0</v>
      </c>
      <c r="C208" s="39">
        <v>0</v>
      </c>
      <c r="D208" s="39">
        <v>3101.8173299999999</v>
      </c>
      <c r="E208" s="39">
        <v>3624.1435374309463</v>
      </c>
      <c r="F208" s="39">
        <v>1535.0008499999999</v>
      </c>
      <c r="G208" s="39">
        <v>1378.1001960838205</v>
      </c>
      <c r="H208" s="40">
        <v>0.16839360667023762</v>
      </c>
      <c r="I208" s="40">
        <v>-0.10221535311604513</v>
      </c>
      <c r="J208" s="40">
        <v>7.8809549852732586E-2</v>
      </c>
    </row>
    <row r="209" spans="1:10" ht="11.25" customHeight="1" x14ac:dyDescent="0.2">
      <c r="A209" s="49">
        <v>44652</v>
      </c>
      <c r="B209" s="39">
        <v>0</v>
      </c>
      <c r="C209" s="39">
        <v>0</v>
      </c>
      <c r="D209" s="39">
        <v>5003.0401500000007</v>
      </c>
      <c r="E209" s="39">
        <v>5845.5201251745066</v>
      </c>
      <c r="F209" s="39">
        <v>2475.86175</v>
      </c>
      <c r="G209" s="39">
        <v>2222.7906669572403</v>
      </c>
      <c r="H209" s="40">
        <v>0.16839360667023739</v>
      </c>
      <c r="I209" s="40">
        <v>-0.10221535311604524</v>
      </c>
      <c r="J209" s="40">
        <v>7.8809549852732586E-2</v>
      </c>
    </row>
    <row r="210" spans="1:10" ht="11.25" customHeight="1" x14ac:dyDescent="0.2">
      <c r="A210" s="49">
        <v>44682</v>
      </c>
      <c r="B210" s="39">
        <v>0</v>
      </c>
      <c r="C210" s="39">
        <v>0</v>
      </c>
      <c r="D210" s="39">
        <v>3731.2792800000002</v>
      </c>
      <c r="E210" s="39">
        <v>4359.6028554531267</v>
      </c>
      <c r="F210" s="39">
        <v>1846.5036</v>
      </c>
      <c r="G210" s="39">
        <v>1657.7625824959514</v>
      </c>
      <c r="H210" s="40">
        <v>0.16839360667023739</v>
      </c>
      <c r="I210" s="40">
        <v>-0.10221535311604513</v>
      </c>
      <c r="J210" s="40">
        <v>7.8809549852732363E-2</v>
      </c>
    </row>
    <row r="211" spans="1:10" ht="11.25" customHeight="1" x14ac:dyDescent="0.2">
      <c r="A211" s="49">
        <v>44713</v>
      </c>
      <c r="B211" s="39">
        <v>0</v>
      </c>
      <c r="C211" s="39">
        <v>0</v>
      </c>
      <c r="D211" s="39">
        <v>3708.75828</v>
      </c>
      <c r="E211" s="39">
        <v>4333.2894630373066</v>
      </c>
      <c r="F211" s="39">
        <v>1835.3586</v>
      </c>
      <c r="G211" s="39">
        <v>1647.7567726064296</v>
      </c>
      <c r="H211" s="40">
        <v>0.16839360667023762</v>
      </c>
      <c r="I211" s="40">
        <v>-0.10221535311604524</v>
      </c>
      <c r="J211" s="40">
        <v>7.8809549852732808E-2</v>
      </c>
    </row>
    <row r="212" spans="1:10" ht="11.25" customHeight="1" x14ac:dyDescent="0.2">
      <c r="A212" s="49">
        <v>44743</v>
      </c>
      <c r="B212" s="39">
        <v>0</v>
      </c>
      <c r="C212" s="39">
        <v>0</v>
      </c>
      <c r="D212" s="39">
        <v>3581.7398400000002</v>
      </c>
      <c r="E212" s="39">
        <v>4184.8819298120798</v>
      </c>
      <c r="F212" s="39">
        <v>1772.5008</v>
      </c>
      <c r="G212" s="39">
        <v>1591.3240048295272</v>
      </c>
      <c r="H212" s="40">
        <v>0.16839360667023762</v>
      </c>
      <c r="I212" s="40">
        <v>-0.10221535311604535</v>
      </c>
      <c r="J212" s="40">
        <v>7.8809549852732586E-2</v>
      </c>
    </row>
    <row r="213" spans="1:10" ht="11.25" customHeight="1" x14ac:dyDescent="0.2">
      <c r="A213" s="49">
        <v>44774</v>
      </c>
      <c r="B213" s="39">
        <v>0</v>
      </c>
      <c r="C213" s="39">
        <v>0</v>
      </c>
      <c r="D213" s="39">
        <v>3030.4257600000001</v>
      </c>
      <c r="E213" s="39">
        <v>3540.7300834727957</v>
      </c>
      <c r="F213" s="39">
        <v>1499.6712</v>
      </c>
      <c r="G213" s="39">
        <v>1346.3817787340367</v>
      </c>
      <c r="H213" s="40">
        <v>0.16839360667023762</v>
      </c>
      <c r="I213" s="40">
        <v>-0.10221535311604524</v>
      </c>
      <c r="J213" s="40">
        <v>7.8809549852732586E-2</v>
      </c>
    </row>
    <row r="214" spans="1:10" ht="11.25" customHeight="1" x14ac:dyDescent="0.2">
      <c r="A214" s="45" t="s">
        <v>31</v>
      </c>
      <c r="B214" s="39">
        <v>0</v>
      </c>
      <c r="C214" s="39">
        <v>0</v>
      </c>
      <c r="D214" s="39">
        <v>58821.488656000001</v>
      </c>
      <c r="E214" s="39">
        <v>68725.634072348766</v>
      </c>
      <c r="F214" s="39">
        <v>29107.774136</v>
      </c>
      <c r="G214" s="39">
        <v>26133.294339171385</v>
      </c>
      <c r="H214" s="40">
        <v>0.16837631353178151</v>
      </c>
      <c r="I214" s="40">
        <v>-0.10218850067102259</v>
      </c>
      <c r="J214" s="40">
        <v>7.8809549852732808E-2</v>
      </c>
    </row>
    <row r="215" spans="1:10" ht="11.25" customHeight="1" x14ac:dyDescent="0.2">
      <c r="A215" s="46" t="s">
        <v>25</v>
      </c>
      <c r="B215" s="39">
        <v>0</v>
      </c>
      <c r="C215" s="39">
        <v>0</v>
      </c>
      <c r="D215" s="39">
        <v>58821.488656000001</v>
      </c>
      <c r="E215" s="39">
        <v>68725.634072348766</v>
      </c>
      <c r="F215" s="39">
        <v>29107.774136</v>
      </c>
      <c r="G215" s="39">
        <v>26133.294339171385</v>
      </c>
      <c r="H215" s="40">
        <v>0.16837631353178151</v>
      </c>
      <c r="I215" s="40">
        <v>-0.10218850067102259</v>
      </c>
      <c r="J215" s="40">
        <v>7.8809549852732808E-2</v>
      </c>
    </row>
    <row r="216" spans="1:10" ht="11.25" customHeight="1" x14ac:dyDescent="0.2">
      <c r="A216" s="47" t="s">
        <v>25</v>
      </c>
      <c r="B216" s="39">
        <v>0</v>
      </c>
      <c r="C216" s="39">
        <v>0</v>
      </c>
      <c r="D216" s="39">
        <v>58821.488656000001</v>
      </c>
      <c r="E216" s="39">
        <v>68725.634072348766</v>
      </c>
      <c r="F216" s="39">
        <v>29107.774136</v>
      </c>
      <c r="G216" s="39">
        <v>26133.294339171385</v>
      </c>
      <c r="H216" s="40">
        <v>0.16837631353178151</v>
      </c>
      <c r="I216" s="40">
        <v>-0.10218850067102259</v>
      </c>
      <c r="J216" s="40">
        <v>7.8809549852732808E-2</v>
      </c>
    </row>
    <row r="217" spans="1:10" ht="11.25" customHeight="1" x14ac:dyDescent="0.2">
      <c r="A217" s="48" t="s">
        <v>25</v>
      </c>
      <c r="B217" s="39">
        <v>0</v>
      </c>
      <c r="C217" s="39">
        <v>0</v>
      </c>
      <c r="D217" s="39">
        <v>58821.488656000001</v>
      </c>
      <c r="E217" s="39">
        <v>68725.634072348766</v>
      </c>
      <c r="F217" s="39">
        <v>29107.774136</v>
      </c>
      <c r="G217" s="39">
        <v>26133.294339171385</v>
      </c>
      <c r="H217" s="40">
        <v>0.16837631353178151</v>
      </c>
      <c r="I217" s="40">
        <v>-0.10218850067102259</v>
      </c>
      <c r="J217" s="40">
        <v>7.8809549852732808E-2</v>
      </c>
    </row>
    <row r="218" spans="1:10" ht="11.25" customHeight="1" x14ac:dyDescent="0.2">
      <c r="A218" s="49">
        <v>44440</v>
      </c>
      <c r="B218" s="39">
        <v>0</v>
      </c>
      <c r="C218" s="39">
        <v>0</v>
      </c>
      <c r="D218" s="39">
        <v>3787.6378399999999</v>
      </c>
      <c r="E218" s="39">
        <v>4425.3863364926783</v>
      </c>
      <c r="F218" s="39">
        <v>1874.3100399999998</v>
      </c>
      <c r="G218" s="39">
        <v>1682.7771072197554</v>
      </c>
      <c r="H218" s="40">
        <v>0.16837631353178129</v>
      </c>
      <c r="I218" s="40">
        <v>-0.10218850067102259</v>
      </c>
      <c r="J218" s="40">
        <v>7.8809549852732808E-2</v>
      </c>
    </row>
    <row r="219" spans="1:10" ht="11.25" customHeight="1" x14ac:dyDescent="0.2">
      <c r="A219" s="49">
        <v>44470</v>
      </c>
      <c r="B219" s="39">
        <v>0</v>
      </c>
      <c r="C219" s="39">
        <v>0</v>
      </c>
      <c r="D219" s="39">
        <v>3770.7468400000002</v>
      </c>
      <c r="E219" s="39">
        <v>4405.6512921808135</v>
      </c>
      <c r="F219" s="39">
        <v>1865.95154</v>
      </c>
      <c r="G219" s="39">
        <v>1675.2727498026145</v>
      </c>
      <c r="H219" s="40">
        <v>0.16837631353178129</v>
      </c>
      <c r="I219" s="40">
        <v>-0.10218850067102248</v>
      </c>
      <c r="J219" s="40">
        <v>7.8809549852732808E-2</v>
      </c>
    </row>
    <row r="220" spans="1:10" ht="11.25" customHeight="1" x14ac:dyDescent="0.2">
      <c r="A220" s="49">
        <v>44501</v>
      </c>
      <c r="B220" s="39">
        <v>0</v>
      </c>
      <c r="C220" s="39">
        <v>0</v>
      </c>
      <c r="D220" s="39">
        <v>3477.8568999999998</v>
      </c>
      <c r="E220" s="39">
        <v>4063.4456238130688</v>
      </c>
      <c r="F220" s="39">
        <v>1721.0151499999997</v>
      </c>
      <c r="G220" s="39">
        <v>1545.1471921893847</v>
      </c>
      <c r="H220" s="40">
        <v>0.16837631353178129</v>
      </c>
      <c r="I220" s="40">
        <v>-0.10218850067102259</v>
      </c>
      <c r="J220" s="40">
        <v>7.8809549852732586E-2</v>
      </c>
    </row>
    <row r="221" spans="1:10" ht="11.25" customHeight="1" x14ac:dyDescent="0.2">
      <c r="A221" s="49">
        <v>44531</v>
      </c>
      <c r="B221" s="39">
        <v>0</v>
      </c>
      <c r="C221" s="39">
        <v>0</v>
      </c>
      <c r="D221" s="39">
        <v>3863.6473399999995</v>
      </c>
      <c r="E221" s="39">
        <v>4514.1940358960728</v>
      </c>
      <c r="F221" s="39">
        <v>1911.9232899999997</v>
      </c>
      <c r="G221" s="39">
        <v>1716.5467155968911</v>
      </c>
      <c r="H221" s="40">
        <v>0.16837631353178151</v>
      </c>
      <c r="I221" s="40">
        <v>-0.10218850067102259</v>
      </c>
      <c r="J221" s="40">
        <v>7.8809549852732808E-2</v>
      </c>
    </row>
    <row r="222" spans="1:10" ht="11.25" customHeight="1" x14ac:dyDescent="0.2">
      <c r="A222" s="49">
        <v>44562</v>
      </c>
      <c r="B222" s="39">
        <v>0</v>
      </c>
      <c r="C222" s="39">
        <v>0</v>
      </c>
      <c r="D222" s="39">
        <v>4666.3076600000004</v>
      </c>
      <c r="E222" s="39">
        <v>5452.0033415959133</v>
      </c>
      <c r="F222" s="39">
        <v>2309.1192099999998</v>
      </c>
      <c r="G222" s="39">
        <v>2073.1537800594438</v>
      </c>
      <c r="H222" s="40">
        <v>0.16837631353178129</v>
      </c>
      <c r="I222" s="40">
        <v>-0.10218850067102259</v>
      </c>
      <c r="J222" s="40">
        <v>7.8809549852732808E-2</v>
      </c>
    </row>
    <row r="223" spans="1:10" ht="11.25" customHeight="1" x14ac:dyDescent="0.2">
      <c r="A223" s="49">
        <v>44593</v>
      </c>
      <c r="B223" s="39">
        <v>0</v>
      </c>
      <c r="C223" s="39">
        <v>0</v>
      </c>
      <c r="D223" s="39">
        <v>4923.38868</v>
      </c>
      <c r="E223" s="39">
        <v>5752.3707160225031</v>
      </c>
      <c r="F223" s="39">
        <v>2436.3355799999999</v>
      </c>
      <c r="G223" s="39">
        <v>2187.3700999483335</v>
      </c>
      <c r="H223" s="40">
        <v>0.16837631353178129</v>
      </c>
      <c r="I223" s="40">
        <v>-0.1021885006710227</v>
      </c>
      <c r="J223" s="40">
        <v>7.8809549852732808E-2</v>
      </c>
    </row>
    <row r="224" spans="1:10" ht="11.25" customHeight="1" x14ac:dyDescent="0.2">
      <c r="A224" s="49">
        <v>44621</v>
      </c>
      <c r="B224" s="39">
        <v>0</v>
      </c>
      <c r="C224" s="39">
        <v>0</v>
      </c>
      <c r="D224" s="39">
        <v>5280.1266000000005</v>
      </c>
      <c r="E224" s="39">
        <v>6169.1748518890981</v>
      </c>
      <c r="F224" s="39">
        <v>2612.8670999999999</v>
      </c>
      <c r="G224" s="39">
        <v>2345.8621285983572</v>
      </c>
      <c r="H224" s="40">
        <v>0.16837631353178106</v>
      </c>
      <c r="I224" s="40">
        <v>-0.10218850067102259</v>
      </c>
      <c r="J224" s="40">
        <v>7.8809549852732586E-2</v>
      </c>
    </row>
    <row r="225" spans="1:10" ht="11.25" customHeight="1" x14ac:dyDescent="0.2">
      <c r="A225" s="49">
        <v>44652</v>
      </c>
      <c r="B225" s="39">
        <v>0</v>
      </c>
      <c r="C225" s="39">
        <v>0</v>
      </c>
      <c r="D225" s="39">
        <v>8501.5781200000001</v>
      </c>
      <c r="E225" s="39">
        <v>9933.0425030480528</v>
      </c>
      <c r="F225" s="39">
        <v>4207.0002199999999</v>
      </c>
      <c r="G225" s="39">
        <v>3777.0931751955377</v>
      </c>
      <c r="H225" s="40">
        <v>0.16837631353178151</v>
      </c>
      <c r="I225" s="40">
        <v>-0.10218850067102259</v>
      </c>
      <c r="J225" s="40">
        <v>7.8809549852732808E-2</v>
      </c>
    </row>
    <row r="226" spans="1:10" ht="11.25" customHeight="1" x14ac:dyDescent="0.2">
      <c r="A226" s="49">
        <v>44682</v>
      </c>
      <c r="B226" s="39">
        <v>0</v>
      </c>
      <c r="C226" s="39">
        <v>0</v>
      </c>
      <c r="D226" s="39">
        <v>5369.9191559999999</v>
      </c>
      <c r="E226" s="39">
        <v>6274.0863474509742</v>
      </c>
      <c r="F226" s="39">
        <v>2657.300886</v>
      </c>
      <c r="G226" s="39">
        <v>2385.7552926278795</v>
      </c>
      <c r="H226" s="40">
        <v>0.16837631353178129</v>
      </c>
      <c r="I226" s="40">
        <v>-0.10218850067102281</v>
      </c>
      <c r="J226" s="40">
        <v>7.8809549852732586E-2</v>
      </c>
    </row>
    <row r="227" spans="1:10" ht="11.25" customHeight="1" x14ac:dyDescent="0.2">
      <c r="A227" s="49">
        <v>44713</v>
      </c>
      <c r="B227" s="39">
        <v>0</v>
      </c>
      <c r="C227" s="39">
        <v>0</v>
      </c>
      <c r="D227" s="39">
        <v>5745.6425599999993</v>
      </c>
      <c r="E227" s="39">
        <v>6713.0726731241057</v>
      </c>
      <c r="F227" s="39">
        <v>2843.2273599999999</v>
      </c>
      <c r="G227" s="39">
        <v>2552.68221901477</v>
      </c>
      <c r="H227" s="40">
        <v>0.16837631353178129</v>
      </c>
      <c r="I227" s="40">
        <v>-0.10218850067102259</v>
      </c>
      <c r="J227" s="40">
        <v>7.8809549852732586E-2</v>
      </c>
    </row>
    <row r="228" spans="1:10" ht="11.25" customHeight="1" x14ac:dyDescent="0.2">
      <c r="A228" s="49">
        <v>44743</v>
      </c>
      <c r="B228" s="39">
        <v>0</v>
      </c>
      <c r="C228" s="39">
        <v>0</v>
      </c>
      <c r="D228" s="39">
        <v>4685.2255800000003</v>
      </c>
      <c r="E228" s="39">
        <v>5474.1065912252016</v>
      </c>
      <c r="F228" s="39">
        <v>2318.4807299999998</v>
      </c>
      <c r="G228" s="39">
        <v>2081.558660366642</v>
      </c>
      <c r="H228" s="40">
        <v>0.16837631353178106</v>
      </c>
      <c r="I228" s="40">
        <v>-0.10218850067102248</v>
      </c>
      <c r="J228" s="40">
        <v>7.8809549852732808E-2</v>
      </c>
    </row>
    <row r="229" spans="1:10" ht="11.25" customHeight="1" x14ac:dyDescent="0.2">
      <c r="A229" s="49">
        <v>44774</v>
      </c>
      <c r="B229" s="39">
        <v>0</v>
      </c>
      <c r="C229" s="39">
        <v>0</v>
      </c>
      <c r="D229" s="39">
        <v>4749.4113799999996</v>
      </c>
      <c r="E229" s="39">
        <v>5549.0997596102898</v>
      </c>
      <c r="F229" s="39">
        <v>2350.2430299999996</v>
      </c>
      <c r="G229" s="39">
        <v>2110.0752185517786</v>
      </c>
      <c r="H229" s="40">
        <v>0.16837631353178129</v>
      </c>
      <c r="I229" s="40">
        <v>-0.10218850067102259</v>
      </c>
      <c r="J229" s="40">
        <v>7.8809549852732808E-2</v>
      </c>
    </row>
    <row r="230" spans="1:10" ht="11.25" customHeight="1" x14ac:dyDescent="0.2">
      <c r="A230" s="45" t="s">
        <v>32</v>
      </c>
      <c r="B230" s="39">
        <v>0</v>
      </c>
      <c r="C230" s="39">
        <v>0</v>
      </c>
      <c r="D230" s="39">
        <v>26905.088</v>
      </c>
      <c r="E230" s="39">
        <v>31435.732806100135</v>
      </c>
      <c r="F230" s="39">
        <v>13313.843199999999</v>
      </c>
      <c r="G230" s="39">
        <v>11953.60754801523</v>
      </c>
      <c r="H230" s="40">
        <v>0.16839360667023762</v>
      </c>
      <c r="I230" s="40">
        <v>-0.10216701755844393</v>
      </c>
      <c r="J230" s="40">
        <v>7.882877688493517E-2</v>
      </c>
    </row>
    <row r="231" spans="1:10" ht="11.25" customHeight="1" x14ac:dyDescent="0.2">
      <c r="A231" s="46" t="s">
        <v>25</v>
      </c>
      <c r="B231" s="39">
        <v>0</v>
      </c>
      <c r="C231" s="39">
        <v>0</v>
      </c>
      <c r="D231" s="39">
        <v>26905.088</v>
      </c>
      <c r="E231" s="39">
        <v>31435.732806100135</v>
      </c>
      <c r="F231" s="39">
        <v>13313.843199999999</v>
      </c>
      <c r="G231" s="39">
        <v>11953.60754801523</v>
      </c>
      <c r="H231" s="40">
        <v>0.16839360667023762</v>
      </c>
      <c r="I231" s="40">
        <v>-0.10216701755844393</v>
      </c>
      <c r="J231" s="40">
        <v>7.882877688493517E-2</v>
      </c>
    </row>
    <row r="232" spans="1:10" ht="11.25" customHeight="1" x14ac:dyDescent="0.2">
      <c r="A232" s="47" t="s">
        <v>25</v>
      </c>
      <c r="B232" s="39">
        <v>0</v>
      </c>
      <c r="C232" s="39">
        <v>0</v>
      </c>
      <c r="D232" s="39">
        <v>26905.088</v>
      </c>
      <c r="E232" s="39">
        <v>31435.732806100135</v>
      </c>
      <c r="F232" s="39">
        <v>13313.843199999999</v>
      </c>
      <c r="G232" s="39">
        <v>11953.60754801523</v>
      </c>
      <c r="H232" s="40">
        <v>0.16839360667023762</v>
      </c>
      <c r="I232" s="40">
        <v>-0.10216701755844393</v>
      </c>
      <c r="J232" s="40">
        <v>7.882877688493517E-2</v>
      </c>
    </row>
    <row r="233" spans="1:10" ht="11.25" customHeight="1" x14ac:dyDescent="0.2">
      <c r="A233" s="48" t="s">
        <v>25</v>
      </c>
      <c r="B233" s="39">
        <v>0</v>
      </c>
      <c r="C233" s="39">
        <v>0</v>
      </c>
      <c r="D233" s="39">
        <v>26905.088</v>
      </c>
      <c r="E233" s="39">
        <v>31435.732806100135</v>
      </c>
      <c r="F233" s="39">
        <v>13313.843199999999</v>
      </c>
      <c r="G233" s="39">
        <v>11953.60754801523</v>
      </c>
      <c r="H233" s="40">
        <v>0.16839360667023762</v>
      </c>
      <c r="I233" s="40">
        <v>-0.10216701755844393</v>
      </c>
      <c r="J233" s="40">
        <v>7.882877688493517E-2</v>
      </c>
    </row>
    <row r="234" spans="1:10" ht="11.25" customHeight="1" x14ac:dyDescent="0.2">
      <c r="A234" s="49">
        <v>44440</v>
      </c>
      <c r="B234" s="39">
        <v>0</v>
      </c>
      <c r="C234" s="39">
        <v>0</v>
      </c>
      <c r="D234" s="39">
        <v>1040.4702</v>
      </c>
      <c r="E234" s="39">
        <v>1215.6787296109035</v>
      </c>
      <c r="F234" s="39">
        <v>514.87127999999996</v>
      </c>
      <c r="G234" s="39">
        <v>462.2684168959014</v>
      </c>
      <c r="H234" s="40">
        <v>0.16839360667023762</v>
      </c>
      <c r="I234" s="40">
        <v>-0.10216701755844404</v>
      </c>
      <c r="J234" s="40">
        <v>7.882877688493517E-2</v>
      </c>
    </row>
    <row r="235" spans="1:10" ht="11.25" customHeight="1" x14ac:dyDescent="0.2">
      <c r="A235" s="49">
        <v>44470</v>
      </c>
      <c r="B235" s="39">
        <v>0</v>
      </c>
      <c r="C235" s="39">
        <v>0</v>
      </c>
      <c r="D235" s="39">
        <v>1122.6718500000002</v>
      </c>
      <c r="E235" s="39">
        <v>1311.7226119286481</v>
      </c>
      <c r="F235" s="39">
        <v>555.54834000000005</v>
      </c>
      <c r="G235" s="39">
        <v>498.78962299265555</v>
      </c>
      <c r="H235" s="40">
        <v>0.16839360667023762</v>
      </c>
      <c r="I235" s="40">
        <v>-0.10216701755844415</v>
      </c>
      <c r="J235" s="40">
        <v>7.882877688493517E-2</v>
      </c>
    </row>
    <row r="236" spans="1:10" ht="11.25" customHeight="1" x14ac:dyDescent="0.2">
      <c r="A236" s="49">
        <v>44501</v>
      </c>
      <c r="B236" s="39">
        <v>0</v>
      </c>
      <c r="C236" s="39">
        <v>0</v>
      </c>
      <c r="D236" s="39">
        <v>969.15370000000007</v>
      </c>
      <c r="E236" s="39">
        <v>1132.3529869608055</v>
      </c>
      <c r="F236" s="39">
        <v>479.58068000000003</v>
      </c>
      <c r="G236" s="39">
        <v>430.5833522457495</v>
      </c>
      <c r="H236" s="40">
        <v>0.16839360667023762</v>
      </c>
      <c r="I236" s="40">
        <v>-0.10216701755844404</v>
      </c>
      <c r="J236" s="40">
        <v>7.882877688493517E-2</v>
      </c>
    </row>
    <row r="237" spans="1:10" ht="11.25" customHeight="1" x14ac:dyDescent="0.2">
      <c r="A237" s="49">
        <v>44531</v>
      </c>
      <c r="B237" s="39">
        <v>0</v>
      </c>
      <c r="C237" s="39">
        <v>0</v>
      </c>
      <c r="D237" s="39">
        <v>940.62709999999993</v>
      </c>
      <c r="E237" s="39">
        <v>1099.0226899007662</v>
      </c>
      <c r="F237" s="39">
        <v>465.46443999999997</v>
      </c>
      <c r="G237" s="39">
        <v>417.90932638568864</v>
      </c>
      <c r="H237" s="40">
        <v>0.16839360667023762</v>
      </c>
      <c r="I237" s="40">
        <v>-0.10216701755844404</v>
      </c>
      <c r="J237" s="40">
        <v>7.882877688493517E-2</v>
      </c>
    </row>
    <row r="238" spans="1:10" ht="11.25" customHeight="1" x14ac:dyDescent="0.2">
      <c r="A238" s="49">
        <v>44562</v>
      </c>
      <c r="B238" s="39">
        <v>0</v>
      </c>
      <c r="C238" s="39">
        <v>0</v>
      </c>
      <c r="D238" s="39">
        <v>1971.3382000000001</v>
      </c>
      <c r="E238" s="39">
        <v>2303.2989494648141</v>
      </c>
      <c r="F238" s="39">
        <v>975.50648000000001</v>
      </c>
      <c r="G238" s="39">
        <v>875.84189232946403</v>
      </c>
      <c r="H238" s="40">
        <v>0.16839360667023739</v>
      </c>
      <c r="I238" s="40">
        <v>-0.10216701755844404</v>
      </c>
      <c r="J238" s="40">
        <v>7.8828776884934948E-2</v>
      </c>
    </row>
    <row r="239" spans="1:10" ht="11.25" customHeight="1" x14ac:dyDescent="0.2">
      <c r="A239" s="49">
        <v>44593</v>
      </c>
      <c r="B239" s="39">
        <v>0</v>
      </c>
      <c r="C239" s="39">
        <v>0</v>
      </c>
      <c r="D239" s="39">
        <v>2905.5843500000001</v>
      </c>
      <c r="E239" s="39">
        <v>3394.8661781810979</v>
      </c>
      <c r="F239" s="39">
        <v>1437.8133399999999</v>
      </c>
      <c r="G239" s="39">
        <v>1290.9162392464548</v>
      </c>
      <c r="H239" s="40">
        <v>0.16839360667023762</v>
      </c>
      <c r="I239" s="40">
        <v>-0.10216701755844415</v>
      </c>
      <c r="J239" s="40">
        <v>7.882877688493517E-2</v>
      </c>
    </row>
    <row r="240" spans="1:10" ht="11.25" customHeight="1" x14ac:dyDescent="0.2">
      <c r="A240" s="49">
        <v>44621</v>
      </c>
      <c r="B240" s="39">
        <v>0</v>
      </c>
      <c r="C240" s="39">
        <v>0</v>
      </c>
      <c r="D240" s="39">
        <v>3097.3882000000003</v>
      </c>
      <c r="E240" s="39">
        <v>3618.9685702558359</v>
      </c>
      <c r="F240" s="39">
        <v>1532.7264800000003</v>
      </c>
      <c r="G240" s="39">
        <v>1376.1323868055479</v>
      </c>
      <c r="H240" s="40">
        <v>0.16839360667023762</v>
      </c>
      <c r="I240" s="40">
        <v>-0.10216701755844415</v>
      </c>
      <c r="J240" s="40">
        <v>7.8828776884935392E-2</v>
      </c>
    </row>
    <row r="241" spans="1:10" ht="11.25" customHeight="1" x14ac:dyDescent="0.2">
      <c r="A241" s="49">
        <v>44652</v>
      </c>
      <c r="B241" s="39">
        <v>0</v>
      </c>
      <c r="C241" s="39">
        <v>0</v>
      </c>
      <c r="D241" s="39">
        <v>4384.46335</v>
      </c>
      <c r="E241" s="39">
        <v>5122.7789468199717</v>
      </c>
      <c r="F241" s="39">
        <v>2169.6289400000001</v>
      </c>
      <c r="G241" s="39">
        <v>1947.9644219917116</v>
      </c>
      <c r="H241" s="40">
        <v>0.16839360667023739</v>
      </c>
      <c r="I241" s="40">
        <v>-0.10216701755844415</v>
      </c>
      <c r="J241" s="40">
        <v>7.8828776884934948E-2</v>
      </c>
    </row>
    <row r="242" spans="1:10" ht="11.25" customHeight="1" x14ac:dyDescent="0.2">
      <c r="A242" s="49">
        <v>44682</v>
      </c>
      <c r="B242" s="39">
        <v>0</v>
      </c>
      <c r="C242" s="39">
        <v>0</v>
      </c>
      <c r="D242" s="39">
        <v>2826.3855000000003</v>
      </c>
      <c r="E242" s="39">
        <v>3302.3307481854631</v>
      </c>
      <c r="F242" s="39">
        <v>1398.6222</v>
      </c>
      <c r="G242" s="39">
        <v>1255.7291411349704</v>
      </c>
      <c r="H242" s="40">
        <v>0.16839360667023762</v>
      </c>
      <c r="I242" s="40">
        <v>-0.10216701755844404</v>
      </c>
      <c r="J242" s="40">
        <v>7.882877688493517E-2</v>
      </c>
    </row>
    <row r="243" spans="1:10" ht="11.25" customHeight="1" x14ac:dyDescent="0.2">
      <c r="A243" s="49">
        <v>44713</v>
      </c>
      <c r="B243" s="39">
        <v>0</v>
      </c>
      <c r="C243" s="39">
        <v>0</v>
      </c>
      <c r="D243" s="39">
        <v>3310.2116500000006</v>
      </c>
      <c r="E243" s="39">
        <v>3867.6301285853388</v>
      </c>
      <c r="F243" s="39">
        <v>1638.0410600000002</v>
      </c>
      <c r="G243" s="39">
        <v>1470.6872902615278</v>
      </c>
      <c r="H243" s="40">
        <v>0.16839360667023762</v>
      </c>
      <c r="I243" s="40">
        <v>-0.10216701755844415</v>
      </c>
      <c r="J243" s="40">
        <v>7.882877688493517E-2</v>
      </c>
    </row>
    <row r="244" spans="1:10" ht="11.25" customHeight="1" x14ac:dyDescent="0.2">
      <c r="A244" s="49">
        <v>44743</v>
      </c>
      <c r="B244" s="39">
        <v>0</v>
      </c>
      <c r="C244" s="39">
        <v>0</v>
      </c>
      <c r="D244" s="39">
        <v>1894.3914500000001</v>
      </c>
      <c r="E244" s="39">
        <v>2213.3948587107611</v>
      </c>
      <c r="F244" s="39">
        <v>937.42977999999994</v>
      </c>
      <c r="G244" s="39">
        <v>841.65537520693158</v>
      </c>
      <c r="H244" s="40">
        <v>0.16839360667023762</v>
      </c>
      <c r="I244" s="40">
        <v>-0.10216701755844404</v>
      </c>
      <c r="J244" s="40">
        <v>7.882877688493517E-2</v>
      </c>
    </row>
    <row r="245" spans="1:10" ht="11.25" customHeight="1" x14ac:dyDescent="0.2">
      <c r="A245" s="49">
        <v>44774</v>
      </c>
      <c r="B245" s="39">
        <v>0</v>
      </c>
      <c r="C245" s="39">
        <v>0</v>
      </c>
      <c r="D245" s="39">
        <v>2442.40245</v>
      </c>
      <c r="E245" s="39">
        <v>2853.6874074957245</v>
      </c>
      <c r="F245" s="39">
        <v>1208.6101799999999</v>
      </c>
      <c r="G245" s="39">
        <v>1085.1300825186256</v>
      </c>
      <c r="H245" s="40">
        <v>0.16839360667023762</v>
      </c>
      <c r="I245" s="40">
        <v>-0.10216701755844415</v>
      </c>
      <c r="J245" s="40">
        <v>7.882877688493517E-2</v>
      </c>
    </row>
    <row r="246" spans="1:10" ht="11.25" customHeight="1" x14ac:dyDescent="0.2">
      <c r="A246" s="42" t="s">
        <v>43</v>
      </c>
      <c r="B246" s="39">
        <v>0</v>
      </c>
      <c r="C246" s="39">
        <v>0</v>
      </c>
      <c r="D246" s="39">
        <v>7562577.121749999</v>
      </c>
      <c r="E246" s="39">
        <v>9936306.8422266133</v>
      </c>
      <c r="F246" s="39">
        <v>3171040.3287499994</v>
      </c>
      <c r="G246" s="39">
        <v>3041204.9638615362</v>
      </c>
      <c r="H246" s="40">
        <v>0.31387841502465585</v>
      </c>
      <c r="I246" s="40">
        <v>-4.0944091347978273E-2</v>
      </c>
      <c r="J246" s="40">
        <v>0.20905294658918772</v>
      </c>
    </row>
    <row r="247" spans="1:10" ht="11.25" customHeight="1" x14ac:dyDescent="0.2">
      <c r="A247" s="43" t="s">
        <v>23</v>
      </c>
      <c r="B247" s="39">
        <v>0</v>
      </c>
      <c r="C247" s="39">
        <v>0</v>
      </c>
      <c r="D247" s="39">
        <v>7562577.121749999</v>
      </c>
      <c r="E247" s="39">
        <v>9936306.8422266133</v>
      </c>
      <c r="F247" s="39">
        <v>3171040.3287499994</v>
      </c>
      <c r="G247" s="39">
        <v>3041204.9638615362</v>
      </c>
      <c r="H247" s="40">
        <v>0.31387841502465585</v>
      </c>
      <c r="I247" s="40">
        <v>-4.0944091347978273E-2</v>
      </c>
      <c r="J247" s="40">
        <v>0.20905294658918772</v>
      </c>
    </row>
    <row r="248" spans="1:10" ht="11.25" customHeight="1" x14ac:dyDescent="0.2">
      <c r="A248" s="44" t="s">
        <v>44</v>
      </c>
      <c r="B248" s="39">
        <v>0</v>
      </c>
      <c r="C248" s="39">
        <v>0</v>
      </c>
      <c r="D248" s="39">
        <v>7562577.121749999</v>
      </c>
      <c r="E248" s="39">
        <v>9936306.8422266133</v>
      </c>
      <c r="F248" s="39">
        <v>3171040.3287499994</v>
      </c>
      <c r="G248" s="39">
        <v>3041204.9638615362</v>
      </c>
      <c r="H248" s="40">
        <v>0.31387841502465585</v>
      </c>
      <c r="I248" s="40">
        <v>-4.0944091347978273E-2</v>
      </c>
      <c r="J248" s="40">
        <v>0.20905294658918772</v>
      </c>
    </row>
    <row r="249" spans="1:10" ht="11.25" customHeight="1" x14ac:dyDescent="0.2">
      <c r="A249" s="45" t="s">
        <v>25</v>
      </c>
      <c r="B249" s="39">
        <v>0</v>
      </c>
      <c r="C249" s="39">
        <v>0</v>
      </c>
      <c r="D249" s="39">
        <v>7562577.121749999</v>
      </c>
      <c r="E249" s="39">
        <v>9936306.8422266133</v>
      </c>
      <c r="F249" s="39">
        <v>3171040.3287499994</v>
      </c>
      <c r="G249" s="39">
        <v>3041204.9638615362</v>
      </c>
      <c r="H249" s="40">
        <v>0.31387841502465585</v>
      </c>
      <c r="I249" s="40">
        <v>-4.0944091347978273E-2</v>
      </c>
      <c r="J249" s="40">
        <v>0.20905294658918772</v>
      </c>
    </row>
    <row r="250" spans="1:10" ht="11.25" customHeight="1" x14ac:dyDescent="0.2">
      <c r="A250" s="46" t="s">
        <v>25</v>
      </c>
      <c r="B250" s="39">
        <v>0</v>
      </c>
      <c r="C250" s="39">
        <v>0</v>
      </c>
      <c r="D250" s="39">
        <v>7562577.121749999</v>
      </c>
      <c r="E250" s="39">
        <v>9936306.8422266133</v>
      </c>
      <c r="F250" s="39">
        <v>3171040.3287499994</v>
      </c>
      <c r="G250" s="39">
        <v>3041204.9638615362</v>
      </c>
      <c r="H250" s="40">
        <v>0.31387841502465585</v>
      </c>
      <c r="I250" s="40">
        <v>-4.0944091347978273E-2</v>
      </c>
      <c r="J250" s="40">
        <v>0.20905294658918772</v>
      </c>
    </row>
    <row r="251" spans="1:10" ht="11.25" customHeight="1" x14ac:dyDescent="0.2">
      <c r="A251" s="47" t="s">
        <v>25</v>
      </c>
      <c r="B251" s="39">
        <v>0</v>
      </c>
      <c r="C251" s="39">
        <v>0</v>
      </c>
      <c r="D251" s="39">
        <v>7562577.121749999</v>
      </c>
      <c r="E251" s="39">
        <v>9936306.8422266133</v>
      </c>
      <c r="F251" s="39">
        <v>3171040.3287499994</v>
      </c>
      <c r="G251" s="39">
        <v>3041204.9638615362</v>
      </c>
      <c r="H251" s="40">
        <v>0.31387841502465585</v>
      </c>
      <c r="I251" s="40">
        <v>-4.0944091347978273E-2</v>
      </c>
      <c r="J251" s="40">
        <v>0.20905294658918772</v>
      </c>
    </row>
    <row r="252" spans="1:10" ht="11.25" customHeight="1" x14ac:dyDescent="0.2">
      <c r="A252" s="48" t="s">
        <v>25</v>
      </c>
      <c r="B252" s="39">
        <v>0</v>
      </c>
      <c r="C252" s="39">
        <v>0</v>
      </c>
      <c r="D252" s="39">
        <v>7562577.121749999</v>
      </c>
      <c r="E252" s="39">
        <v>9936306.8422266133</v>
      </c>
      <c r="F252" s="39">
        <v>3171040.3287499994</v>
      </c>
      <c r="G252" s="39">
        <v>3041204.9638615362</v>
      </c>
      <c r="H252" s="40">
        <v>0.31387841502465585</v>
      </c>
      <c r="I252" s="40">
        <v>-4.0944091347978273E-2</v>
      </c>
      <c r="J252" s="40">
        <v>0.20905294658918772</v>
      </c>
    </row>
    <row r="253" spans="1:10" ht="11.25" customHeight="1" x14ac:dyDescent="0.2">
      <c r="A253" s="49">
        <v>44440</v>
      </c>
      <c r="B253" s="39">
        <v>0</v>
      </c>
      <c r="C253" s="39">
        <v>0</v>
      </c>
      <c r="D253" s="39">
        <v>558779.77127000014</v>
      </c>
      <c r="E253" s="39">
        <v>734168.68022406753</v>
      </c>
      <c r="F253" s="39">
        <v>234300.18114999999</v>
      </c>
      <c r="G253" s="39">
        <v>224706.97313014651</v>
      </c>
      <c r="H253" s="40">
        <v>0.31387841502465585</v>
      </c>
      <c r="I253" s="40">
        <v>-4.0944091347978384E-2</v>
      </c>
      <c r="J253" s="40">
        <v>0.20905294658918794</v>
      </c>
    </row>
    <row r="254" spans="1:10" ht="11.25" customHeight="1" x14ac:dyDescent="0.2">
      <c r="A254" s="49">
        <v>44470</v>
      </c>
      <c r="B254" s="39">
        <v>0</v>
      </c>
      <c r="C254" s="39">
        <v>0</v>
      </c>
      <c r="D254" s="39">
        <v>582891.46881999995</v>
      </c>
      <c r="E254" s="39">
        <v>765848.51918461523</v>
      </c>
      <c r="F254" s="39">
        <v>244410.38089999996</v>
      </c>
      <c r="G254" s="39">
        <v>234403.21993803614</v>
      </c>
      <c r="H254" s="40">
        <v>0.31387841502465608</v>
      </c>
      <c r="I254" s="40">
        <v>-4.0944091347978495E-2</v>
      </c>
      <c r="J254" s="40">
        <v>0.20905294658918794</v>
      </c>
    </row>
    <row r="255" spans="1:10" ht="11.25" customHeight="1" x14ac:dyDescent="0.2">
      <c r="A255" s="49">
        <v>44501</v>
      </c>
      <c r="B255" s="39">
        <v>0</v>
      </c>
      <c r="C255" s="39">
        <v>0</v>
      </c>
      <c r="D255" s="39">
        <v>625666.48954999994</v>
      </c>
      <c r="E255" s="39">
        <v>822049.69562399446</v>
      </c>
      <c r="F255" s="39">
        <v>262346.23974999995</v>
      </c>
      <c r="G255" s="39">
        <v>251604.71134487732</v>
      </c>
      <c r="H255" s="40">
        <v>0.31387841502465608</v>
      </c>
      <c r="I255" s="40">
        <v>-4.0944091347978384E-2</v>
      </c>
      <c r="J255" s="40">
        <v>0.20905294658918794</v>
      </c>
    </row>
    <row r="256" spans="1:10" ht="11.25" customHeight="1" x14ac:dyDescent="0.2">
      <c r="A256" s="49">
        <v>44531</v>
      </c>
      <c r="B256" s="39">
        <v>0</v>
      </c>
      <c r="C256" s="39">
        <v>0</v>
      </c>
      <c r="D256" s="39">
        <v>689425.37239000003</v>
      </c>
      <c r="E256" s="39">
        <v>905821.11555355648</v>
      </c>
      <c r="F256" s="39">
        <v>289080.77554999996</v>
      </c>
      <c r="G256" s="39">
        <v>277244.6258689363</v>
      </c>
      <c r="H256" s="40">
        <v>0.31387841502465608</v>
      </c>
      <c r="I256" s="40">
        <v>-4.0944091347978495E-2</v>
      </c>
      <c r="J256" s="40">
        <v>0.20905294658918772</v>
      </c>
    </row>
    <row r="257" spans="1:10" ht="11.25" customHeight="1" x14ac:dyDescent="0.2">
      <c r="A257" s="49">
        <v>44562</v>
      </c>
      <c r="B257" s="39">
        <v>0</v>
      </c>
      <c r="C257" s="39">
        <v>0</v>
      </c>
      <c r="D257" s="39">
        <v>884924.83264000004</v>
      </c>
      <c r="E257" s="39">
        <v>1162683.6365250023</v>
      </c>
      <c r="F257" s="39">
        <v>371055.0368</v>
      </c>
      <c r="G257" s="39">
        <v>355862.52547813329</v>
      </c>
      <c r="H257" s="40">
        <v>0.31387841502465608</v>
      </c>
      <c r="I257" s="40">
        <v>-4.0944091347978495E-2</v>
      </c>
      <c r="J257" s="40">
        <v>0.20905294658918794</v>
      </c>
    </row>
    <row r="258" spans="1:10" ht="11.25" customHeight="1" x14ac:dyDescent="0.2">
      <c r="A258" s="49">
        <v>44593</v>
      </c>
      <c r="B258" s="39">
        <v>0</v>
      </c>
      <c r="C258" s="39">
        <v>0</v>
      </c>
      <c r="D258" s="39">
        <v>848065.17865999998</v>
      </c>
      <c r="E258" s="39">
        <v>1114254.5327754025</v>
      </c>
      <c r="F258" s="39">
        <v>355599.53169999999</v>
      </c>
      <c r="G258" s="39">
        <v>341039.83199077682</v>
      </c>
      <c r="H258" s="40">
        <v>0.31387841502465608</v>
      </c>
      <c r="I258" s="40">
        <v>-4.0944091347978495E-2</v>
      </c>
      <c r="J258" s="40">
        <v>0.20905294658918794</v>
      </c>
    </row>
    <row r="259" spans="1:10" ht="11.25" customHeight="1" x14ac:dyDescent="0.2">
      <c r="A259" s="49">
        <v>44621</v>
      </c>
      <c r="B259" s="39">
        <v>0</v>
      </c>
      <c r="C259" s="39">
        <v>0</v>
      </c>
      <c r="D259" s="39">
        <v>669853.40209999995</v>
      </c>
      <c r="E259" s="39">
        <v>880105.92625002156</v>
      </c>
      <c r="F259" s="39">
        <v>280874.11450000003</v>
      </c>
      <c r="G259" s="39">
        <v>269373.97909862944</v>
      </c>
      <c r="H259" s="40">
        <v>0.31387841502465608</v>
      </c>
      <c r="I259" s="40">
        <v>-4.0944091347978495E-2</v>
      </c>
      <c r="J259" s="40">
        <v>0.20905294658918794</v>
      </c>
    </row>
    <row r="260" spans="1:10" ht="11.25" customHeight="1" x14ac:dyDescent="0.2">
      <c r="A260" s="49">
        <v>44652</v>
      </c>
      <c r="B260" s="39">
        <v>0</v>
      </c>
      <c r="C260" s="39">
        <v>0</v>
      </c>
      <c r="D260" s="39">
        <v>586147.94156000006</v>
      </c>
      <c r="E260" s="39">
        <v>770127.12842681736</v>
      </c>
      <c r="F260" s="39">
        <v>245775.84219999998</v>
      </c>
      <c r="G260" s="39">
        <v>235712.77366583687</v>
      </c>
      <c r="H260" s="40">
        <v>0.31387841502465563</v>
      </c>
      <c r="I260" s="40">
        <v>-4.0944091347978384E-2</v>
      </c>
      <c r="J260" s="40">
        <v>0.20905294658918772</v>
      </c>
    </row>
    <row r="261" spans="1:10" ht="11.25" customHeight="1" x14ac:dyDescent="0.2">
      <c r="A261" s="49">
        <v>44682</v>
      </c>
      <c r="B261" s="39">
        <v>0</v>
      </c>
      <c r="C261" s="39">
        <v>0</v>
      </c>
      <c r="D261" s="39">
        <v>549230.59569999995</v>
      </c>
      <c r="E261" s="39">
        <v>721622.22456136358</v>
      </c>
      <c r="F261" s="39">
        <v>230296.14649999997</v>
      </c>
      <c r="G261" s="39">
        <v>220866.88004061655</v>
      </c>
      <c r="H261" s="40">
        <v>0.31387841502465608</v>
      </c>
      <c r="I261" s="40">
        <v>-4.0944091347978384E-2</v>
      </c>
      <c r="J261" s="40">
        <v>0.20905294658918794</v>
      </c>
    </row>
    <row r="262" spans="1:10" ht="11.25" customHeight="1" x14ac:dyDescent="0.2">
      <c r="A262" s="49">
        <v>44713</v>
      </c>
      <c r="B262" s="39">
        <v>0</v>
      </c>
      <c r="C262" s="39">
        <v>0</v>
      </c>
      <c r="D262" s="39">
        <v>532599.35204999999</v>
      </c>
      <c r="E262" s="39">
        <v>699770.79251461278</v>
      </c>
      <c r="F262" s="39">
        <v>223322.55224999998</v>
      </c>
      <c r="G262" s="39">
        <v>214178.8132706123</v>
      </c>
      <c r="H262" s="40">
        <v>0.31387841502465608</v>
      </c>
      <c r="I262" s="40">
        <v>-4.0944091347978384E-2</v>
      </c>
      <c r="J262" s="40">
        <v>0.20905294658918794</v>
      </c>
    </row>
    <row r="263" spans="1:10" ht="11.25" customHeight="1" x14ac:dyDescent="0.2">
      <c r="A263" s="49">
        <v>44743</v>
      </c>
      <c r="B263" s="39">
        <v>0</v>
      </c>
      <c r="C263" s="39">
        <v>0</v>
      </c>
      <c r="D263" s="39">
        <v>488297.83535999997</v>
      </c>
      <c r="E263" s="39">
        <v>641563.98598276719</v>
      </c>
      <c r="F263" s="39">
        <v>204746.6232</v>
      </c>
      <c r="G263" s="39">
        <v>196363.45875650906</v>
      </c>
      <c r="H263" s="40">
        <v>0.31387841502465608</v>
      </c>
      <c r="I263" s="40">
        <v>-4.0944091347978495E-2</v>
      </c>
      <c r="J263" s="40">
        <v>0.20905294658918794</v>
      </c>
    </row>
    <row r="264" spans="1:10" ht="11.25" customHeight="1" x14ac:dyDescent="0.2">
      <c r="A264" s="49">
        <v>44774</v>
      </c>
      <c r="B264" s="39">
        <v>0</v>
      </c>
      <c r="C264" s="39">
        <v>0</v>
      </c>
      <c r="D264" s="39">
        <v>546694.88165</v>
      </c>
      <c r="E264" s="39">
        <v>718290.60460439383</v>
      </c>
      <c r="F264" s="39">
        <v>229232.90424999996</v>
      </c>
      <c r="G264" s="39">
        <v>219847.17127842558</v>
      </c>
      <c r="H264" s="40">
        <v>0.31387841502465585</v>
      </c>
      <c r="I264" s="40">
        <v>-4.0944091347978384E-2</v>
      </c>
      <c r="J264" s="40">
        <v>0.20905294658918772</v>
      </c>
    </row>
    <row r="265" spans="1:10" ht="11.25" customHeight="1" x14ac:dyDescent="0.2">
      <c r="A265" s="42" t="s">
        <v>35</v>
      </c>
      <c r="B265" s="39">
        <v>0</v>
      </c>
      <c r="C265" s="39">
        <v>0</v>
      </c>
      <c r="D265" s="39">
        <v>1205498.5866692003</v>
      </c>
      <c r="E265" s="39">
        <v>1482796.0957251287</v>
      </c>
      <c r="F265" s="39">
        <v>505440.33521480014</v>
      </c>
      <c r="G265" s="39">
        <v>453801.00361216365</v>
      </c>
      <c r="H265" s="40">
        <v>0.23002723696433613</v>
      </c>
      <c r="I265" s="40">
        <v>-0.10216701755844382</v>
      </c>
      <c r="J265" s="40">
        <v>0.1318914278978518</v>
      </c>
    </row>
    <row r="266" spans="1:10" ht="11.25" customHeight="1" x14ac:dyDescent="0.2">
      <c r="A266" s="43" t="s">
        <v>33</v>
      </c>
      <c r="B266" s="39">
        <v>0</v>
      </c>
      <c r="C266" s="39">
        <v>0</v>
      </c>
      <c r="D266" s="39">
        <v>3507.1275700000006</v>
      </c>
      <c r="E266" s="39">
        <v>4310.2483167647451</v>
      </c>
      <c r="F266" s="39">
        <v>1426.6689400000002</v>
      </c>
      <c r="G266" s="39">
        <v>1280.9104293569335</v>
      </c>
      <c r="H266" s="40">
        <v>0.22899673043964697</v>
      </c>
      <c r="I266" s="40">
        <v>-0.10216701755844404</v>
      </c>
      <c r="J266" s="40">
        <v>0.13323659271097044</v>
      </c>
    </row>
    <row r="267" spans="1:10" ht="11.25" customHeight="1" x14ac:dyDescent="0.2">
      <c r="A267" s="44" t="s">
        <v>40</v>
      </c>
      <c r="B267" s="39">
        <v>0</v>
      </c>
      <c r="C267" s="39">
        <v>0</v>
      </c>
      <c r="D267" s="39">
        <v>3507.1275700000006</v>
      </c>
      <c r="E267" s="39">
        <v>4310.2483167647451</v>
      </c>
      <c r="F267" s="39">
        <v>1426.6689400000002</v>
      </c>
      <c r="G267" s="39">
        <v>1280.9104293569335</v>
      </c>
      <c r="H267" s="40">
        <v>0.22899673043964697</v>
      </c>
      <c r="I267" s="40">
        <v>-0.10216701755844404</v>
      </c>
      <c r="J267" s="40">
        <v>0.13323659271097044</v>
      </c>
    </row>
    <row r="268" spans="1:10" ht="11.25" customHeight="1" x14ac:dyDescent="0.2">
      <c r="A268" s="45" t="s">
        <v>25</v>
      </c>
      <c r="B268" s="39">
        <v>0</v>
      </c>
      <c r="C268" s="39">
        <v>0</v>
      </c>
      <c r="D268" s="39">
        <v>3507.1275700000006</v>
      </c>
      <c r="E268" s="39">
        <v>4310.2483167647451</v>
      </c>
      <c r="F268" s="39">
        <v>1426.6689400000002</v>
      </c>
      <c r="G268" s="39">
        <v>1280.9104293569335</v>
      </c>
      <c r="H268" s="40">
        <v>0.22899673043964697</v>
      </c>
      <c r="I268" s="40">
        <v>-0.10216701755844404</v>
      </c>
      <c r="J268" s="40">
        <v>0.13323659271097044</v>
      </c>
    </row>
    <row r="269" spans="1:10" ht="11.25" customHeight="1" x14ac:dyDescent="0.2">
      <c r="A269" s="46" t="s">
        <v>25</v>
      </c>
      <c r="B269" s="39">
        <v>0</v>
      </c>
      <c r="C269" s="39">
        <v>0</v>
      </c>
      <c r="D269" s="39">
        <v>3507.1275700000006</v>
      </c>
      <c r="E269" s="39">
        <v>4310.2483167647451</v>
      </c>
      <c r="F269" s="39">
        <v>1426.6689400000002</v>
      </c>
      <c r="G269" s="39">
        <v>1280.9104293569335</v>
      </c>
      <c r="H269" s="40">
        <v>0.22899673043964697</v>
      </c>
      <c r="I269" s="40">
        <v>-0.10216701755844404</v>
      </c>
      <c r="J269" s="40">
        <v>0.13323659271097044</v>
      </c>
    </row>
    <row r="270" spans="1:10" ht="11.25" customHeight="1" x14ac:dyDescent="0.2">
      <c r="A270" s="47" t="s">
        <v>25</v>
      </c>
      <c r="B270" s="39">
        <v>0</v>
      </c>
      <c r="C270" s="39">
        <v>0</v>
      </c>
      <c r="D270" s="39">
        <v>3507.1275700000006</v>
      </c>
      <c r="E270" s="39">
        <v>4310.2483167647451</v>
      </c>
      <c r="F270" s="39">
        <v>1426.6689400000002</v>
      </c>
      <c r="G270" s="39">
        <v>1280.9104293569335</v>
      </c>
      <c r="H270" s="40">
        <v>0.22899673043964697</v>
      </c>
      <c r="I270" s="40">
        <v>-0.10216701755844404</v>
      </c>
      <c r="J270" s="40">
        <v>0.13323659271097044</v>
      </c>
    </row>
    <row r="271" spans="1:10" ht="11.25" customHeight="1" x14ac:dyDescent="0.2">
      <c r="A271" s="48" t="s">
        <v>34</v>
      </c>
      <c r="B271" s="39">
        <v>0</v>
      </c>
      <c r="C271" s="39">
        <v>0</v>
      </c>
      <c r="D271" s="39">
        <v>2187.7501600000005</v>
      </c>
      <c r="E271" s="39">
        <v>2714.2354491731921</v>
      </c>
      <c r="F271" s="39">
        <v>1203.2237200000002</v>
      </c>
      <c r="G271" s="39">
        <v>1080.2939410720235</v>
      </c>
      <c r="H271" s="40">
        <v>0.24065146870938481</v>
      </c>
      <c r="I271" s="40">
        <v>-0.10216701755844437</v>
      </c>
      <c r="J271" s="40">
        <v>0.11900873451883243</v>
      </c>
    </row>
    <row r="272" spans="1:10" ht="11.25" customHeight="1" x14ac:dyDescent="0.2">
      <c r="A272" s="49">
        <v>44440</v>
      </c>
      <c r="B272" s="39">
        <v>0</v>
      </c>
      <c r="C272" s="39">
        <v>0</v>
      </c>
      <c r="D272" s="39">
        <v>350.55336000000005</v>
      </c>
      <c r="E272" s="39">
        <v>434.91454094500983</v>
      </c>
      <c r="F272" s="39">
        <v>192.79812000000001</v>
      </c>
      <c r="G272" s="39">
        <v>173.100511088725</v>
      </c>
      <c r="H272" s="40">
        <v>0.24065146870938503</v>
      </c>
      <c r="I272" s="40">
        <v>-0.10216701755844404</v>
      </c>
      <c r="J272" s="40">
        <v>0.11900873451883265</v>
      </c>
    </row>
    <row r="273" spans="1:10" ht="11.25" customHeight="1" x14ac:dyDescent="0.2">
      <c r="A273" s="49">
        <v>44470</v>
      </c>
      <c r="B273" s="39">
        <v>0</v>
      </c>
      <c r="C273" s="39">
        <v>0</v>
      </c>
      <c r="D273" s="39">
        <v>329.61472000000003</v>
      </c>
      <c r="E273" s="39">
        <v>408.93698647623273</v>
      </c>
      <c r="F273" s="39">
        <v>181.28224</v>
      </c>
      <c r="G273" s="39">
        <v>162.76117420288594</v>
      </c>
      <c r="H273" s="40">
        <v>0.24065146870938503</v>
      </c>
      <c r="I273" s="40">
        <v>-0.10216701755844404</v>
      </c>
      <c r="J273" s="40">
        <v>0.11900873451883265</v>
      </c>
    </row>
    <row r="274" spans="1:10" ht="11.25" customHeight="1" x14ac:dyDescent="0.2">
      <c r="A274" s="49">
        <v>44501</v>
      </c>
      <c r="B274" s="39">
        <v>0</v>
      </c>
      <c r="C274" s="39">
        <v>0</v>
      </c>
      <c r="D274" s="39">
        <v>309.01380000000006</v>
      </c>
      <c r="E274" s="39">
        <v>383.37842482146817</v>
      </c>
      <c r="F274" s="39">
        <v>169.9521</v>
      </c>
      <c r="G274" s="39">
        <v>152.58860081520558</v>
      </c>
      <c r="H274" s="40">
        <v>0.24065146870938481</v>
      </c>
      <c r="I274" s="40">
        <v>-0.10216701755844393</v>
      </c>
      <c r="J274" s="40">
        <v>0.11900873451883243</v>
      </c>
    </row>
    <row r="275" spans="1:10" ht="11.25" customHeight="1" x14ac:dyDescent="0.2">
      <c r="A275" s="49">
        <v>44531</v>
      </c>
      <c r="B275" s="39">
        <v>0</v>
      </c>
      <c r="C275" s="39">
        <v>0</v>
      </c>
      <c r="D275" s="39">
        <v>285.03568000000001</v>
      </c>
      <c r="E275" s="39">
        <v>353.62993502657827</v>
      </c>
      <c r="F275" s="39">
        <v>156.76455999999999</v>
      </c>
      <c r="G275" s="39">
        <v>140.74839244593824</v>
      </c>
      <c r="H275" s="40">
        <v>0.24065146870938481</v>
      </c>
      <c r="I275" s="40">
        <v>-0.10216701755844404</v>
      </c>
      <c r="J275" s="40">
        <v>0.11900873451883243</v>
      </c>
    </row>
    <row r="276" spans="1:10" ht="11.25" customHeight="1" x14ac:dyDescent="0.2">
      <c r="A276" s="49">
        <v>44562</v>
      </c>
      <c r="B276" s="39">
        <v>0</v>
      </c>
      <c r="C276" s="39">
        <v>0</v>
      </c>
      <c r="D276" s="39">
        <v>417.42192000000006</v>
      </c>
      <c r="E276" s="39">
        <v>517.87511811949139</v>
      </c>
      <c r="F276" s="39">
        <v>229.57464000000002</v>
      </c>
      <c r="G276" s="39">
        <v>206.11968372414654</v>
      </c>
      <c r="H276" s="40">
        <v>0.24065146870938481</v>
      </c>
      <c r="I276" s="40">
        <v>-0.10216701755844404</v>
      </c>
      <c r="J276" s="40">
        <v>0.11900873451883243</v>
      </c>
    </row>
    <row r="277" spans="1:10" ht="11.25" customHeight="1" x14ac:dyDescent="0.2">
      <c r="A277" s="49">
        <v>44593</v>
      </c>
      <c r="B277" s="39">
        <v>0</v>
      </c>
      <c r="C277" s="39">
        <v>0</v>
      </c>
      <c r="D277" s="39">
        <v>455.58428000000004</v>
      </c>
      <c r="E277" s="39">
        <v>565.22130610290776</v>
      </c>
      <c r="F277" s="39">
        <v>250.56326000000001</v>
      </c>
      <c r="G277" s="39">
        <v>224.963959016079</v>
      </c>
      <c r="H277" s="40">
        <v>0.24065146870938503</v>
      </c>
      <c r="I277" s="40">
        <v>-0.10216701755844415</v>
      </c>
      <c r="J277" s="40">
        <v>0.11900873451883265</v>
      </c>
    </row>
    <row r="278" spans="1:10" ht="11.25" customHeight="1" x14ac:dyDescent="0.2">
      <c r="A278" s="49">
        <v>44621</v>
      </c>
      <c r="B278" s="39">
        <v>0</v>
      </c>
      <c r="C278" s="39">
        <v>0</v>
      </c>
      <c r="D278" s="39">
        <v>40.526400000000002</v>
      </c>
      <c r="E278" s="39">
        <v>50.279137681504018</v>
      </c>
      <c r="F278" s="39">
        <v>22.288800000000002</v>
      </c>
      <c r="G278" s="39">
        <v>20.01161977904335</v>
      </c>
      <c r="H278" s="40">
        <v>0.24065146870938481</v>
      </c>
      <c r="I278" s="40">
        <v>-0.10216701755844426</v>
      </c>
      <c r="J278" s="40">
        <v>0.11900873451883243</v>
      </c>
    </row>
    <row r="279" spans="1:10" ht="11.25" customHeight="1" x14ac:dyDescent="0.2">
      <c r="A279" s="48" t="s">
        <v>42</v>
      </c>
      <c r="B279" s="39">
        <v>0</v>
      </c>
      <c r="C279" s="39">
        <v>0</v>
      </c>
      <c r="D279" s="39">
        <v>368.42883</v>
      </c>
      <c r="E279" s="39">
        <v>447.50946876694297</v>
      </c>
      <c r="F279" s="39">
        <v>84.88318000000001</v>
      </c>
      <c r="G279" s="39">
        <v>76.210918658523426</v>
      </c>
      <c r="H279" s="40">
        <v>0.21464291696972504</v>
      </c>
      <c r="I279" s="40">
        <v>-0.10216701755844426</v>
      </c>
      <c r="J279" s="40">
        <v>0.15531990300779008</v>
      </c>
    </row>
    <row r="280" spans="1:10" ht="11.25" customHeight="1" x14ac:dyDescent="0.2">
      <c r="A280" s="49">
        <v>44440</v>
      </c>
      <c r="B280" s="39">
        <v>0</v>
      </c>
      <c r="C280" s="39">
        <v>0</v>
      </c>
      <c r="D280" s="39">
        <v>55.627110000000009</v>
      </c>
      <c r="E280" s="39">
        <v>67.567075152995784</v>
      </c>
      <c r="F280" s="39">
        <v>12.816060000000002</v>
      </c>
      <c r="G280" s="39">
        <v>11.506681372949929</v>
      </c>
      <c r="H280" s="40">
        <v>0.21464291696972526</v>
      </c>
      <c r="I280" s="40">
        <v>-0.10216701755844404</v>
      </c>
      <c r="J280" s="40">
        <v>0.15531990300779031</v>
      </c>
    </row>
    <row r="281" spans="1:10" ht="11.25" customHeight="1" x14ac:dyDescent="0.2">
      <c r="A281" s="49">
        <v>44470</v>
      </c>
      <c r="B281" s="39">
        <v>0</v>
      </c>
      <c r="C281" s="39">
        <v>0</v>
      </c>
      <c r="D281" s="39">
        <v>57.239489999999996</v>
      </c>
      <c r="E281" s="39">
        <v>69.525541099459417</v>
      </c>
      <c r="F281" s="39">
        <v>13.18754</v>
      </c>
      <c r="G281" s="39">
        <v>11.840208369267316</v>
      </c>
      <c r="H281" s="40">
        <v>0.21464291696972526</v>
      </c>
      <c r="I281" s="40">
        <v>-0.10216701755844415</v>
      </c>
      <c r="J281" s="40">
        <v>0.15531990300779031</v>
      </c>
    </row>
    <row r="282" spans="1:10" ht="11.25" customHeight="1" x14ac:dyDescent="0.2">
      <c r="A282" s="49">
        <v>44501</v>
      </c>
      <c r="B282" s="39">
        <v>0</v>
      </c>
      <c r="C282" s="39">
        <v>0</v>
      </c>
      <c r="D282" s="39">
        <v>54.014730000000007</v>
      </c>
      <c r="E282" s="39">
        <v>65.608609206532137</v>
      </c>
      <c r="F282" s="39">
        <v>12.444580000000002</v>
      </c>
      <c r="G282" s="39">
        <v>11.173154376632539</v>
      </c>
      <c r="H282" s="40">
        <v>0.21464291696972526</v>
      </c>
      <c r="I282" s="40">
        <v>-0.10216701755844415</v>
      </c>
      <c r="J282" s="40">
        <v>0.15531990300779008</v>
      </c>
    </row>
    <row r="283" spans="1:10" ht="11.25" customHeight="1" x14ac:dyDescent="0.2">
      <c r="A283" s="49">
        <v>44531</v>
      </c>
      <c r="B283" s="39">
        <v>0</v>
      </c>
      <c r="C283" s="39">
        <v>0</v>
      </c>
      <c r="D283" s="39">
        <v>46.759020000000007</v>
      </c>
      <c r="E283" s="39">
        <v>56.795512447445724</v>
      </c>
      <c r="F283" s="39">
        <v>10.772920000000001</v>
      </c>
      <c r="G283" s="39">
        <v>9.6722828932042866</v>
      </c>
      <c r="H283" s="40">
        <v>0.21464291696972504</v>
      </c>
      <c r="I283" s="40">
        <v>-0.10216701755844415</v>
      </c>
      <c r="J283" s="40">
        <v>0.15531990300779031</v>
      </c>
    </row>
    <row r="284" spans="1:10" ht="11.25" customHeight="1" x14ac:dyDescent="0.2">
      <c r="A284" s="49">
        <v>44562</v>
      </c>
      <c r="B284" s="39">
        <v>0</v>
      </c>
      <c r="C284" s="39">
        <v>0</v>
      </c>
      <c r="D284" s="39">
        <v>72.557100000000005</v>
      </c>
      <c r="E284" s="39">
        <v>88.130967590864046</v>
      </c>
      <c r="F284" s="39">
        <v>16.7166</v>
      </c>
      <c r="G284" s="39">
        <v>15.008714834282515</v>
      </c>
      <c r="H284" s="40">
        <v>0.21464291696972504</v>
      </c>
      <c r="I284" s="40">
        <v>-0.10216701755844404</v>
      </c>
      <c r="J284" s="40">
        <v>0.15531990300779008</v>
      </c>
    </row>
    <row r="285" spans="1:10" ht="11.25" customHeight="1" x14ac:dyDescent="0.2">
      <c r="A285" s="49">
        <v>44593</v>
      </c>
      <c r="B285" s="39">
        <v>0</v>
      </c>
      <c r="C285" s="39">
        <v>0</v>
      </c>
      <c r="D285" s="39">
        <v>82.231380000000001</v>
      </c>
      <c r="E285" s="39">
        <v>99.881763269645916</v>
      </c>
      <c r="F285" s="39">
        <v>18.94548</v>
      </c>
      <c r="G285" s="39">
        <v>17.00987681218685</v>
      </c>
      <c r="H285" s="40">
        <v>0.21464291696972504</v>
      </c>
      <c r="I285" s="40">
        <v>-0.10216701755844404</v>
      </c>
      <c r="J285" s="40">
        <v>0.15531990300779008</v>
      </c>
    </row>
    <row r="286" spans="1:10" ht="11.25" customHeight="1" x14ac:dyDescent="0.2">
      <c r="A286" s="48" t="s">
        <v>39</v>
      </c>
      <c r="B286" s="39">
        <v>0</v>
      </c>
      <c r="C286" s="39">
        <v>0</v>
      </c>
      <c r="D286" s="39">
        <v>950.94857999999999</v>
      </c>
      <c r="E286" s="39">
        <v>1148.5033988246091</v>
      </c>
      <c r="F286" s="39">
        <v>138.56204</v>
      </c>
      <c r="G286" s="39">
        <v>124.40556962638618</v>
      </c>
      <c r="H286" s="40">
        <v>0.20774500638573867</v>
      </c>
      <c r="I286" s="40">
        <v>-0.10216701755844393</v>
      </c>
      <c r="J286" s="40">
        <v>0.16833094151114869</v>
      </c>
    </row>
    <row r="287" spans="1:10" ht="11.25" customHeight="1" x14ac:dyDescent="0.2">
      <c r="A287" s="49">
        <v>44440</v>
      </c>
      <c r="B287" s="39">
        <v>0</v>
      </c>
      <c r="C287" s="39">
        <v>0</v>
      </c>
      <c r="D287" s="39">
        <v>138.94557</v>
      </c>
      <c r="E287" s="39">
        <v>167.8108183269201</v>
      </c>
      <c r="F287" s="39">
        <v>20.245660000000001</v>
      </c>
      <c r="G287" s="39">
        <v>18.177221299297713</v>
      </c>
      <c r="H287" s="40">
        <v>0.20774500638573867</v>
      </c>
      <c r="I287" s="40">
        <v>-0.10216701755844404</v>
      </c>
      <c r="J287" s="40">
        <v>0.16833094151114847</v>
      </c>
    </row>
    <row r="288" spans="1:10" ht="11.25" customHeight="1" x14ac:dyDescent="0.2">
      <c r="A288" s="49">
        <v>44470</v>
      </c>
      <c r="B288" s="39">
        <v>0</v>
      </c>
      <c r="C288" s="39">
        <v>0</v>
      </c>
      <c r="D288" s="39">
        <v>128.74773000000002</v>
      </c>
      <c r="E288" s="39">
        <v>155.49442799099938</v>
      </c>
      <c r="F288" s="39">
        <v>18.759740000000001</v>
      </c>
      <c r="G288" s="39">
        <v>16.843113314028155</v>
      </c>
      <c r="H288" s="40">
        <v>0.20774500638573867</v>
      </c>
      <c r="I288" s="40">
        <v>-0.10216701755844404</v>
      </c>
      <c r="J288" s="40">
        <v>0.16833094151114869</v>
      </c>
    </row>
    <row r="289" spans="1:10" ht="11.25" customHeight="1" x14ac:dyDescent="0.2">
      <c r="A289" s="49">
        <v>44501</v>
      </c>
      <c r="B289" s="39">
        <v>0</v>
      </c>
      <c r="C289" s="39">
        <v>0</v>
      </c>
      <c r="D289" s="39">
        <v>131.29719</v>
      </c>
      <c r="E289" s="39">
        <v>158.57352557497953</v>
      </c>
      <c r="F289" s="39">
        <v>19.131219999999999</v>
      </c>
      <c r="G289" s="39">
        <v>17.176640310345544</v>
      </c>
      <c r="H289" s="40">
        <v>0.20774500638573845</v>
      </c>
      <c r="I289" s="40">
        <v>-0.10216701755844404</v>
      </c>
      <c r="J289" s="40">
        <v>0.16833094151114847</v>
      </c>
    </row>
    <row r="290" spans="1:10" ht="11.25" customHeight="1" x14ac:dyDescent="0.2">
      <c r="A290" s="49">
        <v>44531</v>
      </c>
      <c r="B290" s="39">
        <v>0</v>
      </c>
      <c r="C290" s="39">
        <v>0</v>
      </c>
      <c r="D290" s="39">
        <v>118.54989</v>
      </c>
      <c r="E290" s="39">
        <v>143.17803765507861</v>
      </c>
      <c r="F290" s="39">
        <v>17.273820000000001</v>
      </c>
      <c r="G290" s="39">
        <v>15.509005328758597</v>
      </c>
      <c r="H290" s="40">
        <v>0.20774500638573867</v>
      </c>
      <c r="I290" s="40">
        <v>-0.10216701755844415</v>
      </c>
      <c r="J290" s="40">
        <v>0.16833094151114869</v>
      </c>
    </row>
    <row r="291" spans="1:10" ht="11.25" customHeight="1" x14ac:dyDescent="0.2">
      <c r="A291" s="49">
        <v>44562</v>
      </c>
      <c r="B291" s="39">
        <v>0</v>
      </c>
      <c r="C291" s="39">
        <v>0</v>
      </c>
      <c r="D291" s="39">
        <v>198.85787999999999</v>
      </c>
      <c r="E291" s="39">
        <v>240.16961155045445</v>
      </c>
      <c r="F291" s="39">
        <v>28.975440000000003</v>
      </c>
      <c r="G291" s="39">
        <v>26.015105712756359</v>
      </c>
      <c r="H291" s="40">
        <v>0.20774500638573867</v>
      </c>
      <c r="I291" s="40">
        <v>-0.10216701755844404</v>
      </c>
      <c r="J291" s="40">
        <v>0.16833094151114869</v>
      </c>
    </row>
    <row r="292" spans="1:10" ht="11.25" customHeight="1" x14ac:dyDescent="0.2">
      <c r="A292" s="49">
        <v>44593</v>
      </c>
      <c r="B292" s="39">
        <v>0</v>
      </c>
      <c r="C292" s="39">
        <v>0</v>
      </c>
      <c r="D292" s="39">
        <v>234.55032</v>
      </c>
      <c r="E292" s="39">
        <v>283.27697772617705</v>
      </c>
      <c r="F292" s="39">
        <v>34.176160000000003</v>
      </c>
      <c r="G292" s="39">
        <v>30.684483661199806</v>
      </c>
      <c r="H292" s="40">
        <v>0.20774500638573867</v>
      </c>
      <c r="I292" s="40">
        <v>-0.10216701755844415</v>
      </c>
      <c r="J292" s="40">
        <v>0.16833094151114869</v>
      </c>
    </row>
    <row r="293" spans="1:10" ht="11.25" customHeight="1" x14ac:dyDescent="0.2">
      <c r="A293" s="43" t="s">
        <v>23</v>
      </c>
      <c r="B293" s="39">
        <v>0</v>
      </c>
      <c r="C293" s="39">
        <v>0</v>
      </c>
      <c r="D293" s="39">
        <v>1201991.4590992003</v>
      </c>
      <c r="E293" s="39">
        <v>1478485.8474083641</v>
      </c>
      <c r="F293" s="39">
        <v>504013.66627480014</v>
      </c>
      <c r="G293" s="39">
        <v>452520.09318280668</v>
      </c>
      <c r="H293" s="40">
        <v>0.23003024373931469</v>
      </c>
      <c r="I293" s="40">
        <v>-0.10216701755844404</v>
      </c>
      <c r="J293" s="40">
        <v>0.13188753765780414</v>
      </c>
    </row>
    <row r="294" spans="1:10" ht="11.25" customHeight="1" x14ac:dyDescent="0.2">
      <c r="A294" s="44" t="s">
        <v>40</v>
      </c>
      <c r="B294" s="39">
        <v>0</v>
      </c>
      <c r="C294" s="39">
        <v>0</v>
      </c>
      <c r="D294" s="39">
        <v>832699.68487999984</v>
      </c>
      <c r="E294" s="39">
        <v>1024245.7963545977</v>
      </c>
      <c r="F294" s="39">
        <v>349163.89622000005</v>
      </c>
      <c r="G294" s="39">
        <v>313490.86230411648</v>
      </c>
      <c r="H294" s="40">
        <v>0.23003024373931602</v>
      </c>
      <c r="I294" s="40">
        <v>-0.10216701755844415</v>
      </c>
      <c r="J294" s="40">
        <v>0.13188753765780481</v>
      </c>
    </row>
    <row r="295" spans="1:10" ht="11.25" customHeight="1" x14ac:dyDescent="0.2">
      <c r="A295" s="45" t="s">
        <v>25</v>
      </c>
      <c r="B295" s="39">
        <v>0</v>
      </c>
      <c r="C295" s="39">
        <v>0</v>
      </c>
      <c r="D295" s="39">
        <v>832699.68487999984</v>
      </c>
      <c r="E295" s="39">
        <v>1024245.7963545977</v>
      </c>
      <c r="F295" s="39">
        <v>349163.89622000005</v>
      </c>
      <c r="G295" s="39">
        <v>313490.86230411648</v>
      </c>
      <c r="H295" s="40">
        <v>0.23003024373931602</v>
      </c>
      <c r="I295" s="40">
        <v>-0.10216701755844415</v>
      </c>
      <c r="J295" s="40">
        <v>0.13188753765780481</v>
      </c>
    </row>
    <row r="296" spans="1:10" ht="11.25" customHeight="1" x14ac:dyDescent="0.2">
      <c r="A296" s="46" t="s">
        <v>25</v>
      </c>
      <c r="B296" s="39">
        <v>0</v>
      </c>
      <c r="C296" s="39">
        <v>0</v>
      </c>
      <c r="D296" s="39">
        <v>832699.68487999984</v>
      </c>
      <c r="E296" s="39">
        <v>1024245.7963545977</v>
      </c>
      <c r="F296" s="39">
        <v>349163.89622000005</v>
      </c>
      <c r="G296" s="39">
        <v>313490.86230411648</v>
      </c>
      <c r="H296" s="40">
        <v>0.23003024373931602</v>
      </c>
      <c r="I296" s="40">
        <v>-0.10216701755844415</v>
      </c>
      <c r="J296" s="40">
        <v>0.13188753765780481</v>
      </c>
    </row>
    <row r="297" spans="1:10" ht="11.25" customHeight="1" x14ac:dyDescent="0.2">
      <c r="A297" s="47" t="s">
        <v>25</v>
      </c>
      <c r="B297" s="39">
        <v>0</v>
      </c>
      <c r="C297" s="39">
        <v>0</v>
      </c>
      <c r="D297" s="39">
        <v>832699.68487999984</v>
      </c>
      <c r="E297" s="39">
        <v>1024245.7963545977</v>
      </c>
      <c r="F297" s="39">
        <v>349163.89622000005</v>
      </c>
      <c r="G297" s="39">
        <v>313490.86230411648</v>
      </c>
      <c r="H297" s="40">
        <v>0.23003024373931602</v>
      </c>
      <c r="I297" s="40">
        <v>-0.10216701755844415</v>
      </c>
      <c r="J297" s="40">
        <v>0.13188753765780481</v>
      </c>
    </row>
    <row r="298" spans="1:10" ht="11.25" customHeight="1" x14ac:dyDescent="0.2">
      <c r="A298" s="48" t="s">
        <v>25</v>
      </c>
      <c r="B298" s="39">
        <v>0</v>
      </c>
      <c r="C298" s="39">
        <v>0</v>
      </c>
      <c r="D298" s="39">
        <v>832699.68487999984</v>
      </c>
      <c r="E298" s="39">
        <v>1024245.7963545977</v>
      </c>
      <c r="F298" s="39">
        <v>349163.89622000005</v>
      </c>
      <c r="G298" s="39">
        <v>313490.86230411648</v>
      </c>
      <c r="H298" s="40">
        <v>0.23003024373931602</v>
      </c>
      <c r="I298" s="40">
        <v>-0.10216701755844415</v>
      </c>
      <c r="J298" s="40">
        <v>0.13188753765780481</v>
      </c>
    </row>
    <row r="299" spans="1:10" ht="11.25" customHeight="1" x14ac:dyDescent="0.2">
      <c r="A299" s="49">
        <v>44440</v>
      </c>
      <c r="B299" s="39">
        <v>0</v>
      </c>
      <c r="C299" s="39">
        <v>0</v>
      </c>
      <c r="D299" s="39">
        <v>65638.25576</v>
      </c>
      <c r="E299" s="39">
        <v>80737.039731096331</v>
      </c>
      <c r="F299" s="39">
        <v>27523.138940000001</v>
      </c>
      <c r="G299" s="39">
        <v>24711.181920653526</v>
      </c>
      <c r="H299" s="40">
        <v>0.23003024373931558</v>
      </c>
      <c r="I299" s="40">
        <v>-0.10216701755844404</v>
      </c>
      <c r="J299" s="40">
        <v>0.13188753765780459</v>
      </c>
    </row>
    <row r="300" spans="1:10" ht="11.25" customHeight="1" x14ac:dyDescent="0.2">
      <c r="A300" s="49">
        <v>44470</v>
      </c>
      <c r="B300" s="39">
        <v>0</v>
      </c>
      <c r="C300" s="39">
        <v>0</v>
      </c>
      <c r="D300" s="39">
        <v>66943.215919999988</v>
      </c>
      <c r="E300" s="39">
        <v>82342.180194771223</v>
      </c>
      <c r="F300" s="39">
        <v>28070.328979999998</v>
      </c>
      <c r="G300" s="39">
        <v>25202.467186229034</v>
      </c>
      <c r="H300" s="40">
        <v>0.23003024373931558</v>
      </c>
      <c r="I300" s="40">
        <v>-0.10216701755844415</v>
      </c>
      <c r="J300" s="40">
        <v>0.13188753765780481</v>
      </c>
    </row>
    <row r="301" spans="1:10" ht="11.25" customHeight="1" x14ac:dyDescent="0.2">
      <c r="A301" s="49">
        <v>44501</v>
      </c>
      <c r="B301" s="39">
        <v>0</v>
      </c>
      <c r="C301" s="39">
        <v>0</v>
      </c>
      <c r="D301" s="39">
        <v>67762.691919999997</v>
      </c>
      <c r="E301" s="39">
        <v>83350.16045878976</v>
      </c>
      <c r="F301" s="39">
        <v>28413.947980000004</v>
      </c>
      <c r="G301" s="39">
        <v>25510.979657822623</v>
      </c>
      <c r="H301" s="40">
        <v>0.2300302437393158</v>
      </c>
      <c r="I301" s="40">
        <v>-0.10216701755844426</v>
      </c>
      <c r="J301" s="40">
        <v>0.13188753765780481</v>
      </c>
    </row>
    <row r="302" spans="1:10" ht="11.25" customHeight="1" x14ac:dyDescent="0.2">
      <c r="A302" s="49">
        <v>44531</v>
      </c>
      <c r="B302" s="39">
        <v>0</v>
      </c>
      <c r="C302" s="39">
        <v>0</v>
      </c>
      <c r="D302" s="39">
        <v>70536.064479999986</v>
      </c>
      <c r="E302" s="39">
        <v>86761.492584746476</v>
      </c>
      <c r="F302" s="39">
        <v>29576.866119999999</v>
      </c>
      <c r="G302" s="39">
        <v>26555.085919794212</v>
      </c>
      <c r="H302" s="40">
        <v>0.2300302437393158</v>
      </c>
      <c r="I302" s="40">
        <v>-0.10216701755844404</v>
      </c>
      <c r="J302" s="40">
        <v>0.13188753765780481</v>
      </c>
    </row>
    <row r="303" spans="1:10" ht="11.25" customHeight="1" x14ac:dyDescent="0.2">
      <c r="A303" s="49">
        <v>44562</v>
      </c>
      <c r="B303" s="39">
        <v>0</v>
      </c>
      <c r="C303" s="39">
        <v>0</v>
      </c>
      <c r="D303" s="39">
        <v>82973.052399999986</v>
      </c>
      <c r="E303" s="39">
        <v>102059.36386736699</v>
      </c>
      <c r="F303" s="39">
        <v>34791.888100000004</v>
      </c>
      <c r="G303" s="39">
        <v>31237.30465759588</v>
      </c>
      <c r="H303" s="40">
        <v>0.23003024373931558</v>
      </c>
      <c r="I303" s="40">
        <v>-0.10216701755844415</v>
      </c>
      <c r="J303" s="40">
        <v>0.13188753765780481</v>
      </c>
    </row>
    <row r="304" spans="1:10" ht="11.25" customHeight="1" x14ac:dyDescent="0.2">
      <c r="A304" s="49">
        <v>44593</v>
      </c>
      <c r="B304" s="39">
        <v>0</v>
      </c>
      <c r="C304" s="39">
        <v>0</v>
      </c>
      <c r="D304" s="39">
        <v>85843.87616</v>
      </c>
      <c r="E304" s="39">
        <v>105590.56391661243</v>
      </c>
      <c r="F304" s="39">
        <v>35995.669040000001</v>
      </c>
      <c r="G304" s="39">
        <v>32318.098889162382</v>
      </c>
      <c r="H304" s="40">
        <v>0.2300302437393158</v>
      </c>
      <c r="I304" s="40">
        <v>-0.10216701755844404</v>
      </c>
      <c r="J304" s="40">
        <v>0.13188753765780481</v>
      </c>
    </row>
    <row r="305" spans="1:10" ht="11.25" customHeight="1" x14ac:dyDescent="0.2">
      <c r="A305" s="49">
        <v>44621</v>
      </c>
      <c r="B305" s="39">
        <v>0</v>
      </c>
      <c r="C305" s="39">
        <v>0</v>
      </c>
      <c r="D305" s="39">
        <v>78894.276719999994</v>
      </c>
      <c r="E305" s="39">
        <v>97042.34642353862</v>
      </c>
      <c r="F305" s="39">
        <v>33081.59418</v>
      </c>
      <c r="G305" s="39">
        <v>29701.746366550622</v>
      </c>
      <c r="H305" s="40">
        <v>0.2300302437393158</v>
      </c>
      <c r="I305" s="40">
        <v>-0.10216701755844393</v>
      </c>
      <c r="J305" s="40">
        <v>0.13188753765780481</v>
      </c>
    </row>
    <row r="306" spans="1:10" ht="11.25" customHeight="1" x14ac:dyDescent="0.2">
      <c r="A306" s="49">
        <v>44652</v>
      </c>
      <c r="B306" s="39">
        <v>0</v>
      </c>
      <c r="C306" s="39">
        <v>0</v>
      </c>
      <c r="D306" s="39">
        <v>70674.710959999997</v>
      </c>
      <c r="E306" s="39">
        <v>86932.031948334479</v>
      </c>
      <c r="F306" s="39">
        <v>29635.00274</v>
      </c>
      <c r="G306" s="39">
        <v>26607.282894717882</v>
      </c>
      <c r="H306" s="40">
        <v>0.23003024373931558</v>
      </c>
      <c r="I306" s="40">
        <v>-0.10216701755844404</v>
      </c>
      <c r="J306" s="40">
        <v>0.13188753765780481</v>
      </c>
    </row>
    <row r="307" spans="1:10" ht="11.25" customHeight="1" x14ac:dyDescent="0.2">
      <c r="A307" s="49">
        <v>44682</v>
      </c>
      <c r="B307" s="39">
        <v>0</v>
      </c>
      <c r="C307" s="39">
        <v>0</v>
      </c>
      <c r="D307" s="39">
        <v>65465.058399999994</v>
      </c>
      <c r="E307" s="39">
        <v>80524.001740160529</v>
      </c>
      <c r="F307" s="39">
        <v>27450.514599999999</v>
      </c>
      <c r="G307" s="39">
        <v>24645.977392873472</v>
      </c>
      <c r="H307" s="40">
        <v>0.2300302437393158</v>
      </c>
      <c r="I307" s="40">
        <v>-0.10216701755844415</v>
      </c>
      <c r="J307" s="40">
        <v>0.13188753765780481</v>
      </c>
    </row>
    <row r="308" spans="1:10" ht="11.25" customHeight="1" x14ac:dyDescent="0.2">
      <c r="A308" s="49">
        <v>44713</v>
      </c>
      <c r="B308" s="39">
        <v>0</v>
      </c>
      <c r="C308" s="39">
        <v>0</v>
      </c>
      <c r="D308" s="39">
        <v>62817.486479999992</v>
      </c>
      <c r="E308" s="39">
        <v>77267.408206085558</v>
      </c>
      <c r="F308" s="39">
        <v>26340.34662</v>
      </c>
      <c r="G308" s="39">
        <v>23649.231964378956</v>
      </c>
      <c r="H308" s="40">
        <v>0.23003024373931558</v>
      </c>
      <c r="I308" s="40">
        <v>-0.10216701755844415</v>
      </c>
      <c r="J308" s="40">
        <v>0.13188753765780481</v>
      </c>
    </row>
    <row r="309" spans="1:10" ht="11.25" customHeight="1" x14ac:dyDescent="0.2">
      <c r="A309" s="49">
        <v>44743</v>
      </c>
      <c r="B309" s="39">
        <v>0</v>
      </c>
      <c r="C309" s="39">
        <v>0</v>
      </c>
      <c r="D309" s="39">
        <v>54500.912479999999</v>
      </c>
      <c r="E309" s="39">
        <v>67037.770661789516</v>
      </c>
      <c r="F309" s="39">
        <v>22853.078120000002</v>
      </c>
      <c r="G309" s="39">
        <v>20518.247286449467</v>
      </c>
      <c r="H309" s="40">
        <v>0.2300302437393158</v>
      </c>
      <c r="I309" s="40">
        <v>-0.10216701755844415</v>
      </c>
      <c r="J309" s="40">
        <v>0.13188753765780481</v>
      </c>
    </row>
    <row r="310" spans="1:10" ht="11.25" customHeight="1" x14ac:dyDescent="0.2">
      <c r="A310" s="49">
        <v>44774</v>
      </c>
      <c r="B310" s="39">
        <v>0</v>
      </c>
      <c r="C310" s="39">
        <v>0</v>
      </c>
      <c r="D310" s="39">
        <v>60650.083200000001</v>
      </c>
      <c r="E310" s="39">
        <v>74601.436621305766</v>
      </c>
      <c r="F310" s="39">
        <v>25431.520800000006</v>
      </c>
      <c r="G310" s="39">
        <v>22833.258167888464</v>
      </c>
      <c r="H310" s="40">
        <v>0.23003024373931558</v>
      </c>
      <c r="I310" s="40">
        <v>-0.10216701755844426</v>
      </c>
      <c r="J310" s="40">
        <v>0.13188753765780459</v>
      </c>
    </row>
    <row r="311" spans="1:10" ht="11.25" customHeight="1" x14ac:dyDescent="0.2">
      <c r="A311" s="44" t="s">
        <v>52</v>
      </c>
      <c r="B311" s="39">
        <v>0</v>
      </c>
      <c r="C311" s="39">
        <v>0</v>
      </c>
      <c r="D311" s="39">
        <v>3308.0252800000003</v>
      </c>
      <c r="E311" s="39">
        <v>4068.971141454218</v>
      </c>
      <c r="F311" s="39">
        <v>1387.1063200000001</v>
      </c>
      <c r="G311" s="39">
        <v>1245.3898042491312</v>
      </c>
      <c r="H311" s="40">
        <v>0.23003024373931558</v>
      </c>
      <c r="I311" s="40">
        <v>-0.10216701755844415</v>
      </c>
      <c r="J311" s="40">
        <v>0.13188753765780459</v>
      </c>
    </row>
    <row r="312" spans="1:10" ht="11.25" customHeight="1" x14ac:dyDescent="0.2">
      <c r="A312" s="45" t="s">
        <v>25</v>
      </c>
      <c r="B312" s="39">
        <v>0</v>
      </c>
      <c r="C312" s="39">
        <v>0</v>
      </c>
      <c r="D312" s="39">
        <v>3308.0252800000003</v>
      </c>
      <c r="E312" s="39">
        <v>4068.971141454218</v>
      </c>
      <c r="F312" s="39">
        <v>1387.1063200000001</v>
      </c>
      <c r="G312" s="39">
        <v>1245.3898042491312</v>
      </c>
      <c r="H312" s="40">
        <v>0.23003024373931558</v>
      </c>
      <c r="I312" s="40">
        <v>-0.10216701755844415</v>
      </c>
      <c r="J312" s="40">
        <v>0.13188753765780459</v>
      </c>
    </row>
    <row r="313" spans="1:10" ht="11.25" customHeight="1" x14ac:dyDescent="0.2">
      <c r="A313" s="46" t="s">
        <v>25</v>
      </c>
      <c r="B313" s="39">
        <v>0</v>
      </c>
      <c r="C313" s="39">
        <v>0</v>
      </c>
      <c r="D313" s="39">
        <v>3308.0252800000003</v>
      </c>
      <c r="E313" s="39">
        <v>4068.971141454218</v>
      </c>
      <c r="F313" s="39">
        <v>1387.1063200000001</v>
      </c>
      <c r="G313" s="39">
        <v>1245.3898042491312</v>
      </c>
      <c r="H313" s="40">
        <v>0.23003024373931558</v>
      </c>
      <c r="I313" s="40">
        <v>-0.10216701755844415</v>
      </c>
      <c r="J313" s="40">
        <v>0.13188753765780459</v>
      </c>
    </row>
    <row r="314" spans="1:10" ht="11.25" customHeight="1" x14ac:dyDescent="0.2">
      <c r="A314" s="47" t="s">
        <v>25</v>
      </c>
      <c r="B314" s="39">
        <v>0</v>
      </c>
      <c r="C314" s="39">
        <v>0</v>
      </c>
      <c r="D314" s="39">
        <v>3308.0252800000003</v>
      </c>
      <c r="E314" s="39">
        <v>4068.971141454218</v>
      </c>
      <c r="F314" s="39">
        <v>1387.1063200000001</v>
      </c>
      <c r="G314" s="39">
        <v>1245.3898042491312</v>
      </c>
      <c r="H314" s="40">
        <v>0.23003024373931558</v>
      </c>
      <c r="I314" s="40">
        <v>-0.10216701755844415</v>
      </c>
      <c r="J314" s="40">
        <v>0.13188753765780459</v>
      </c>
    </row>
    <row r="315" spans="1:10" ht="11.25" customHeight="1" x14ac:dyDescent="0.2">
      <c r="A315" s="48" t="s">
        <v>25</v>
      </c>
      <c r="B315" s="39">
        <v>0</v>
      </c>
      <c r="C315" s="39">
        <v>0</v>
      </c>
      <c r="D315" s="39">
        <v>3308.0252800000003</v>
      </c>
      <c r="E315" s="39">
        <v>4068.971141454218</v>
      </c>
      <c r="F315" s="39">
        <v>1387.1063200000001</v>
      </c>
      <c r="G315" s="39">
        <v>1245.3898042491312</v>
      </c>
      <c r="H315" s="40">
        <v>0.23003024373931558</v>
      </c>
      <c r="I315" s="40">
        <v>-0.10216701755844415</v>
      </c>
      <c r="J315" s="40">
        <v>0.13188753765780459</v>
      </c>
    </row>
    <row r="316" spans="1:10" ht="11.25" customHeight="1" x14ac:dyDescent="0.2">
      <c r="A316" s="49">
        <v>44440</v>
      </c>
      <c r="B316" s="39">
        <v>0</v>
      </c>
      <c r="C316" s="39">
        <v>0</v>
      </c>
      <c r="D316" s="39">
        <v>233.43992</v>
      </c>
      <c r="E316" s="39">
        <v>287.13816169608634</v>
      </c>
      <c r="F316" s="39">
        <v>97.884980000000013</v>
      </c>
      <c r="G316" s="39">
        <v>87.884363529632054</v>
      </c>
      <c r="H316" s="40">
        <v>0.23003024373931558</v>
      </c>
      <c r="I316" s="40">
        <v>-0.10216701755844415</v>
      </c>
      <c r="J316" s="40">
        <v>0.13188753765780459</v>
      </c>
    </row>
    <row r="317" spans="1:10" ht="11.25" customHeight="1" x14ac:dyDescent="0.2">
      <c r="A317" s="49">
        <v>44470</v>
      </c>
      <c r="B317" s="39">
        <v>0</v>
      </c>
      <c r="C317" s="39">
        <v>0</v>
      </c>
      <c r="D317" s="39">
        <v>223.25183999999999</v>
      </c>
      <c r="E317" s="39">
        <v>274.60651517045068</v>
      </c>
      <c r="F317" s="39">
        <v>93.612960000000001</v>
      </c>
      <c r="G317" s="39">
        <v>84.048803071982078</v>
      </c>
      <c r="H317" s="40">
        <v>0.23003024373931558</v>
      </c>
      <c r="I317" s="40">
        <v>-0.10216701755844404</v>
      </c>
      <c r="J317" s="40">
        <v>0.13188753765780481</v>
      </c>
    </row>
    <row r="318" spans="1:10" ht="11.25" customHeight="1" x14ac:dyDescent="0.2">
      <c r="A318" s="49">
        <v>44501</v>
      </c>
      <c r="B318" s="39">
        <v>0</v>
      </c>
      <c r="C318" s="39">
        <v>0</v>
      </c>
      <c r="D318" s="39">
        <v>216.60744</v>
      </c>
      <c r="E318" s="39">
        <v>266.43370221894918</v>
      </c>
      <c r="F318" s="39">
        <v>90.826859999999996</v>
      </c>
      <c r="G318" s="39">
        <v>81.547350599601657</v>
      </c>
      <c r="H318" s="40">
        <v>0.23003024373931558</v>
      </c>
      <c r="I318" s="40">
        <v>-0.10216701755844404</v>
      </c>
      <c r="J318" s="40">
        <v>0.13188753765780481</v>
      </c>
    </row>
    <row r="319" spans="1:10" ht="11.25" customHeight="1" x14ac:dyDescent="0.2">
      <c r="A319" s="49">
        <v>44531</v>
      </c>
      <c r="B319" s="39">
        <v>0</v>
      </c>
      <c r="C319" s="39">
        <v>0</v>
      </c>
      <c r="D319" s="39">
        <v>215.72152</v>
      </c>
      <c r="E319" s="39">
        <v>265.34399382541562</v>
      </c>
      <c r="F319" s="39">
        <v>90.455380000000005</v>
      </c>
      <c r="G319" s="39">
        <v>81.213823603284268</v>
      </c>
      <c r="H319" s="40">
        <v>0.23003024373931558</v>
      </c>
      <c r="I319" s="40">
        <v>-0.10216701755844415</v>
      </c>
      <c r="J319" s="40">
        <v>0.13188753765780459</v>
      </c>
    </row>
    <row r="320" spans="1:10" ht="11.25" customHeight="1" x14ac:dyDescent="0.2">
      <c r="A320" s="49">
        <v>44562</v>
      </c>
      <c r="B320" s="39">
        <v>0</v>
      </c>
      <c r="C320" s="39">
        <v>0</v>
      </c>
      <c r="D320" s="39">
        <v>328.23336</v>
      </c>
      <c r="E320" s="39">
        <v>403.73695980417455</v>
      </c>
      <c r="F320" s="39">
        <v>137.63334</v>
      </c>
      <c r="G320" s="39">
        <v>123.5717521355927</v>
      </c>
      <c r="H320" s="40">
        <v>0.23003024373931558</v>
      </c>
      <c r="I320" s="40">
        <v>-0.10216701755844404</v>
      </c>
      <c r="J320" s="40">
        <v>0.13188753765780481</v>
      </c>
    </row>
    <row r="321" spans="1:10" ht="11.25" customHeight="1" x14ac:dyDescent="0.2">
      <c r="A321" s="49">
        <v>44593</v>
      </c>
      <c r="B321" s="39">
        <v>0</v>
      </c>
      <c r="C321" s="39">
        <v>0</v>
      </c>
      <c r="D321" s="39">
        <v>438.08743999999996</v>
      </c>
      <c r="E321" s="39">
        <v>538.8608006023328</v>
      </c>
      <c r="F321" s="39">
        <v>183.69686000000002</v>
      </c>
      <c r="G321" s="39">
        <v>164.92909967894897</v>
      </c>
      <c r="H321" s="40">
        <v>0.2300302437393158</v>
      </c>
      <c r="I321" s="40">
        <v>-0.10216701755844404</v>
      </c>
      <c r="J321" s="40">
        <v>0.13188753765780481</v>
      </c>
    </row>
    <row r="322" spans="1:10" ht="11.25" customHeight="1" x14ac:dyDescent="0.2">
      <c r="A322" s="49">
        <v>44621</v>
      </c>
      <c r="B322" s="39">
        <v>0</v>
      </c>
      <c r="C322" s="39">
        <v>0</v>
      </c>
      <c r="D322" s="39">
        <v>349.05248</v>
      </c>
      <c r="E322" s="39">
        <v>429.3451070522126</v>
      </c>
      <c r="F322" s="39">
        <v>146.36312000000001</v>
      </c>
      <c r="G322" s="39">
        <v>131.40963654905136</v>
      </c>
      <c r="H322" s="40">
        <v>0.23003024373931558</v>
      </c>
      <c r="I322" s="40">
        <v>-0.10216701755844404</v>
      </c>
      <c r="J322" s="40">
        <v>0.13188753765780459</v>
      </c>
    </row>
    <row r="323" spans="1:10" ht="11.25" customHeight="1" x14ac:dyDescent="0.2">
      <c r="A323" s="49">
        <v>44652</v>
      </c>
      <c r="B323" s="39">
        <v>0</v>
      </c>
      <c r="C323" s="39">
        <v>0</v>
      </c>
      <c r="D323" s="39">
        <v>247.61464000000001</v>
      </c>
      <c r="E323" s="39">
        <v>304.5734959926229</v>
      </c>
      <c r="F323" s="39">
        <v>103.82866000000001</v>
      </c>
      <c r="G323" s="39">
        <v>93.220795470710286</v>
      </c>
      <c r="H323" s="40">
        <v>0.23003024373931558</v>
      </c>
      <c r="I323" s="40">
        <v>-0.10216701755844415</v>
      </c>
      <c r="J323" s="40">
        <v>0.13188753765780481</v>
      </c>
    </row>
    <row r="324" spans="1:10" ht="11.25" customHeight="1" x14ac:dyDescent="0.2">
      <c r="A324" s="49">
        <v>44682</v>
      </c>
      <c r="B324" s="39">
        <v>0</v>
      </c>
      <c r="C324" s="39">
        <v>0</v>
      </c>
      <c r="D324" s="39">
        <v>224.13775999999999</v>
      </c>
      <c r="E324" s="39">
        <v>275.69622356398423</v>
      </c>
      <c r="F324" s="39">
        <v>93.984440000000006</v>
      </c>
      <c r="G324" s="39">
        <v>84.382330068299467</v>
      </c>
      <c r="H324" s="40">
        <v>0.2300302437393158</v>
      </c>
      <c r="I324" s="40">
        <v>-0.10216701755844415</v>
      </c>
      <c r="J324" s="40">
        <v>0.13188753765780481</v>
      </c>
    </row>
    <row r="325" spans="1:10" ht="11.25" customHeight="1" x14ac:dyDescent="0.2">
      <c r="A325" s="49">
        <v>44713</v>
      </c>
      <c r="B325" s="39">
        <v>0</v>
      </c>
      <c r="C325" s="39">
        <v>0</v>
      </c>
      <c r="D325" s="39">
        <v>306.97127999999998</v>
      </c>
      <c r="E325" s="39">
        <v>377.58395835936966</v>
      </c>
      <c r="F325" s="39">
        <v>128.71781999999999</v>
      </c>
      <c r="G325" s="39">
        <v>115.56710422397535</v>
      </c>
      <c r="H325" s="40">
        <v>0.23003024373931558</v>
      </c>
      <c r="I325" s="40">
        <v>-0.10216701755844404</v>
      </c>
      <c r="J325" s="40">
        <v>0.13188753765780481</v>
      </c>
    </row>
    <row r="326" spans="1:10" ht="11.25" customHeight="1" x14ac:dyDescent="0.2">
      <c r="A326" s="49">
        <v>44743</v>
      </c>
      <c r="B326" s="39">
        <v>0</v>
      </c>
      <c r="C326" s="39">
        <v>0</v>
      </c>
      <c r="D326" s="39">
        <v>259.13159999999999</v>
      </c>
      <c r="E326" s="39">
        <v>318.73970510855884</v>
      </c>
      <c r="F326" s="39">
        <v>108.6579</v>
      </c>
      <c r="G326" s="39">
        <v>97.556646422836337</v>
      </c>
      <c r="H326" s="40">
        <v>0.23003024373931558</v>
      </c>
      <c r="I326" s="40">
        <v>-0.10216701755844404</v>
      </c>
      <c r="J326" s="40">
        <v>0.13188753765780481</v>
      </c>
    </row>
    <row r="327" spans="1:10" ht="11.25" customHeight="1" x14ac:dyDescent="0.2">
      <c r="A327" s="49">
        <v>44774</v>
      </c>
      <c r="B327" s="39">
        <v>0</v>
      </c>
      <c r="C327" s="39">
        <v>0</v>
      </c>
      <c r="D327" s="39">
        <v>265.77599999999995</v>
      </c>
      <c r="E327" s="39">
        <v>326.91251806006034</v>
      </c>
      <c r="F327" s="39">
        <v>111.444</v>
      </c>
      <c r="G327" s="39">
        <v>100.05809889521676</v>
      </c>
      <c r="H327" s="40">
        <v>0.2300302437393158</v>
      </c>
      <c r="I327" s="40">
        <v>-0.10216701755844404</v>
      </c>
      <c r="J327" s="40">
        <v>0.13188753765780481</v>
      </c>
    </row>
    <row r="328" spans="1:10" ht="11.25" customHeight="1" x14ac:dyDescent="0.2">
      <c r="A328" s="44" t="s">
        <v>36</v>
      </c>
      <c r="B328" s="39">
        <v>0</v>
      </c>
      <c r="C328" s="39">
        <v>0</v>
      </c>
      <c r="D328" s="39">
        <v>221417.98560000001</v>
      </c>
      <c r="E328" s="39">
        <v>272350.8187958363</v>
      </c>
      <c r="F328" s="39">
        <v>92843.996400000004</v>
      </c>
      <c r="G328" s="39">
        <v>83358.402189605084</v>
      </c>
      <c r="H328" s="40">
        <v>0.23003024373931558</v>
      </c>
      <c r="I328" s="40">
        <v>-0.10216701755844426</v>
      </c>
      <c r="J328" s="40">
        <v>0.13188753765780459</v>
      </c>
    </row>
    <row r="329" spans="1:10" ht="11.25" customHeight="1" x14ac:dyDescent="0.2">
      <c r="A329" s="45" t="s">
        <v>25</v>
      </c>
      <c r="B329" s="39">
        <v>0</v>
      </c>
      <c r="C329" s="39">
        <v>0</v>
      </c>
      <c r="D329" s="39">
        <v>221417.98560000001</v>
      </c>
      <c r="E329" s="39">
        <v>272350.8187958363</v>
      </c>
      <c r="F329" s="39">
        <v>92843.996400000004</v>
      </c>
      <c r="G329" s="39">
        <v>83358.402189605084</v>
      </c>
      <c r="H329" s="40">
        <v>0.23003024373931558</v>
      </c>
      <c r="I329" s="40">
        <v>-0.10216701755844426</v>
      </c>
      <c r="J329" s="40">
        <v>0.13188753765780459</v>
      </c>
    </row>
    <row r="330" spans="1:10" ht="11.25" customHeight="1" x14ac:dyDescent="0.2">
      <c r="A330" s="46" t="s">
        <v>25</v>
      </c>
      <c r="B330" s="39">
        <v>0</v>
      </c>
      <c r="C330" s="39">
        <v>0</v>
      </c>
      <c r="D330" s="39">
        <v>221417.98560000001</v>
      </c>
      <c r="E330" s="39">
        <v>272350.8187958363</v>
      </c>
      <c r="F330" s="39">
        <v>92843.996400000004</v>
      </c>
      <c r="G330" s="39">
        <v>83358.402189605084</v>
      </c>
      <c r="H330" s="40">
        <v>0.23003024373931558</v>
      </c>
      <c r="I330" s="40">
        <v>-0.10216701755844426</v>
      </c>
      <c r="J330" s="40">
        <v>0.13188753765780459</v>
      </c>
    </row>
    <row r="331" spans="1:10" ht="11.25" customHeight="1" x14ac:dyDescent="0.2">
      <c r="A331" s="47" t="s">
        <v>25</v>
      </c>
      <c r="B331" s="39">
        <v>0</v>
      </c>
      <c r="C331" s="39">
        <v>0</v>
      </c>
      <c r="D331" s="39">
        <v>221417.98560000001</v>
      </c>
      <c r="E331" s="39">
        <v>272350.8187958363</v>
      </c>
      <c r="F331" s="39">
        <v>92843.996400000004</v>
      </c>
      <c r="G331" s="39">
        <v>83358.402189605084</v>
      </c>
      <c r="H331" s="40">
        <v>0.23003024373931558</v>
      </c>
      <c r="I331" s="40">
        <v>-0.10216701755844426</v>
      </c>
      <c r="J331" s="40">
        <v>0.13188753765780459</v>
      </c>
    </row>
    <row r="332" spans="1:10" ht="11.25" customHeight="1" x14ac:dyDescent="0.2">
      <c r="A332" s="48" t="s">
        <v>25</v>
      </c>
      <c r="B332" s="39">
        <v>0</v>
      </c>
      <c r="C332" s="39">
        <v>0</v>
      </c>
      <c r="D332" s="39">
        <v>221417.98560000001</v>
      </c>
      <c r="E332" s="39">
        <v>272350.8187958363</v>
      </c>
      <c r="F332" s="39">
        <v>92843.996400000004</v>
      </c>
      <c r="G332" s="39">
        <v>83358.402189605084</v>
      </c>
      <c r="H332" s="40">
        <v>0.23003024373931558</v>
      </c>
      <c r="I332" s="40">
        <v>-0.10216701755844426</v>
      </c>
      <c r="J332" s="40">
        <v>0.13188753765780459</v>
      </c>
    </row>
    <row r="333" spans="1:10" ht="11.25" customHeight="1" x14ac:dyDescent="0.2">
      <c r="A333" s="49">
        <v>44440</v>
      </c>
      <c r="B333" s="39">
        <v>0</v>
      </c>
      <c r="C333" s="39">
        <v>0</v>
      </c>
      <c r="D333" s="39">
        <v>20972.827120000002</v>
      </c>
      <c r="E333" s="39">
        <v>25797.211654316132</v>
      </c>
      <c r="F333" s="39">
        <v>8794.2317800000019</v>
      </c>
      <c r="G333" s="39">
        <v>7895.7513473197141</v>
      </c>
      <c r="H333" s="40">
        <v>0.23003024373931558</v>
      </c>
      <c r="I333" s="40">
        <v>-0.10216701755844415</v>
      </c>
      <c r="J333" s="40">
        <v>0.13188753765780459</v>
      </c>
    </row>
    <row r="334" spans="1:10" ht="11.25" customHeight="1" x14ac:dyDescent="0.2">
      <c r="A334" s="49">
        <v>44470</v>
      </c>
      <c r="B334" s="39">
        <v>0</v>
      </c>
      <c r="C334" s="39">
        <v>0</v>
      </c>
      <c r="D334" s="39">
        <v>21941.13768</v>
      </c>
      <c r="E334" s="39">
        <v>26988.262928448283</v>
      </c>
      <c r="F334" s="39">
        <v>9200.2594200000021</v>
      </c>
      <c r="G334" s="39">
        <v>8260.29635429462</v>
      </c>
      <c r="H334" s="40">
        <v>0.23003024373931558</v>
      </c>
      <c r="I334" s="40">
        <v>-0.10216701755844426</v>
      </c>
      <c r="J334" s="40">
        <v>0.13188753765780481</v>
      </c>
    </row>
    <row r="335" spans="1:10" ht="11.25" customHeight="1" x14ac:dyDescent="0.2">
      <c r="A335" s="49">
        <v>44501</v>
      </c>
      <c r="B335" s="39">
        <v>0</v>
      </c>
      <c r="C335" s="39">
        <v>0</v>
      </c>
      <c r="D335" s="39">
        <v>19458.346880000001</v>
      </c>
      <c r="E335" s="39">
        <v>23934.355155570553</v>
      </c>
      <c r="F335" s="39">
        <v>8159.1867200000006</v>
      </c>
      <c r="G335" s="39">
        <v>7325.5869471151373</v>
      </c>
      <c r="H335" s="40">
        <v>0.23003024373931558</v>
      </c>
      <c r="I335" s="40">
        <v>-0.10216701755844404</v>
      </c>
      <c r="J335" s="40">
        <v>0.13188753765780481</v>
      </c>
    </row>
    <row r="336" spans="1:10" ht="11.25" customHeight="1" x14ac:dyDescent="0.2">
      <c r="A336" s="49">
        <v>44531</v>
      </c>
      <c r="B336" s="39">
        <v>0</v>
      </c>
      <c r="C336" s="39">
        <v>0</v>
      </c>
      <c r="D336" s="39">
        <v>17009.22104</v>
      </c>
      <c r="E336" s="39">
        <v>20921.856301647094</v>
      </c>
      <c r="F336" s="39">
        <v>7132.2302599999994</v>
      </c>
      <c r="G336" s="39">
        <v>6403.5515657957139</v>
      </c>
      <c r="H336" s="40">
        <v>0.23003024373931558</v>
      </c>
      <c r="I336" s="40">
        <v>-0.10216701755844393</v>
      </c>
      <c r="J336" s="40">
        <v>0.13188753765780481</v>
      </c>
    </row>
    <row r="337" spans="1:10" ht="11.25" customHeight="1" x14ac:dyDescent="0.2">
      <c r="A337" s="49">
        <v>44562</v>
      </c>
      <c r="B337" s="39">
        <v>0</v>
      </c>
      <c r="C337" s="39">
        <v>0</v>
      </c>
      <c r="D337" s="39">
        <v>16719.968159999997</v>
      </c>
      <c r="E337" s="39">
        <v>20566.066511158395</v>
      </c>
      <c r="F337" s="39">
        <v>7010.9420399999999</v>
      </c>
      <c r="G337" s="39">
        <v>6294.6550014980867</v>
      </c>
      <c r="H337" s="40">
        <v>0.2300302437393158</v>
      </c>
      <c r="I337" s="40">
        <v>-0.10216701755844404</v>
      </c>
      <c r="J337" s="40">
        <v>0.13188753765780481</v>
      </c>
    </row>
    <row r="338" spans="1:10" ht="11.25" customHeight="1" x14ac:dyDescent="0.2">
      <c r="A338" s="49">
        <v>44593</v>
      </c>
      <c r="B338" s="39">
        <v>0</v>
      </c>
      <c r="C338" s="39">
        <v>0</v>
      </c>
      <c r="D338" s="39">
        <v>17214.311519999996</v>
      </c>
      <c r="E338" s="39">
        <v>21174.123794750107</v>
      </c>
      <c r="F338" s="39">
        <v>7218.2278799999995</v>
      </c>
      <c r="G338" s="39">
        <v>6480.7630654431896</v>
      </c>
      <c r="H338" s="40">
        <v>0.2300302437393158</v>
      </c>
      <c r="I338" s="40">
        <v>-0.10216701755844404</v>
      </c>
      <c r="J338" s="40">
        <v>0.13188753765780481</v>
      </c>
    </row>
    <row r="339" spans="1:10" ht="11.25" customHeight="1" x14ac:dyDescent="0.2">
      <c r="A339" s="49">
        <v>44621</v>
      </c>
      <c r="B339" s="39">
        <v>0</v>
      </c>
      <c r="C339" s="39">
        <v>0</v>
      </c>
      <c r="D339" s="39">
        <v>17306.004239999998</v>
      </c>
      <c r="E339" s="39">
        <v>21286.908613480828</v>
      </c>
      <c r="F339" s="39">
        <v>7256.6760599999998</v>
      </c>
      <c r="G339" s="39">
        <v>6515.2831095620395</v>
      </c>
      <c r="H339" s="40">
        <v>0.23003024373931558</v>
      </c>
      <c r="I339" s="40">
        <v>-0.10216701755844404</v>
      </c>
      <c r="J339" s="40">
        <v>0.13188753765780459</v>
      </c>
    </row>
    <row r="340" spans="1:10" ht="11.25" customHeight="1" x14ac:dyDescent="0.2">
      <c r="A340" s="49">
        <v>44652</v>
      </c>
      <c r="B340" s="39">
        <v>0</v>
      </c>
      <c r="C340" s="39">
        <v>0</v>
      </c>
      <c r="D340" s="39">
        <v>16979.542720000001</v>
      </c>
      <c r="E340" s="39">
        <v>20885.351070463723</v>
      </c>
      <c r="F340" s="39">
        <v>7119.7856800000009</v>
      </c>
      <c r="G340" s="39">
        <v>6392.3784114190812</v>
      </c>
      <c r="H340" s="40">
        <v>0.23003024373931558</v>
      </c>
      <c r="I340" s="40">
        <v>-0.10216701755844415</v>
      </c>
      <c r="J340" s="40">
        <v>0.13188753765780481</v>
      </c>
    </row>
    <row r="341" spans="1:10" ht="11.25" customHeight="1" x14ac:dyDescent="0.2">
      <c r="A341" s="49">
        <v>44682</v>
      </c>
      <c r="B341" s="39">
        <v>0</v>
      </c>
      <c r="C341" s="39">
        <v>0</v>
      </c>
      <c r="D341" s="39">
        <v>18075.425759999998</v>
      </c>
      <c r="E341" s="39">
        <v>22233.320353264702</v>
      </c>
      <c r="F341" s="39">
        <v>7579.3064400000003</v>
      </c>
      <c r="G341" s="39">
        <v>6804.9513058636921</v>
      </c>
      <c r="H341" s="40">
        <v>0.23003024373931558</v>
      </c>
      <c r="I341" s="40">
        <v>-0.10216701755844404</v>
      </c>
      <c r="J341" s="40">
        <v>0.13188753765780481</v>
      </c>
    </row>
    <row r="342" spans="1:10" ht="11.25" customHeight="1" x14ac:dyDescent="0.2">
      <c r="A342" s="49">
        <v>44713</v>
      </c>
      <c r="B342" s="39">
        <v>0</v>
      </c>
      <c r="C342" s="39">
        <v>0</v>
      </c>
      <c r="D342" s="39">
        <v>17724.601440000002</v>
      </c>
      <c r="E342" s="39">
        <v>21801.795829425428</v>
      </c>
      <c r="F342" s="39">
        <v>7432.2003600000007</v>
      </c>
      <c r="G342" s="39">
        <v>6672.8746153220063</v>
      </c>
      <c r="H342" s="40">
        <v>0.23003024373931558</v>
      </c>
      <c r="I342" s="40">
        <v>-0.10216701755844404</v>
      </c>
      <c r="J342" s="40">
        <v>0.13188753765780481</v>
      </c>
    </row>
    <row r="343" spans="1:10" ht="11.25" customHeight="1" x14ac:dyDescent="0.2">
      <c r="A343" s="49">
        <v>44743</v>
      </c>
      <c r="B343" s="39">
        <v>0</v>
      </c>
      <c r="C343" s="39">
        <v>0</v>
      </c>
      <c r="D343" s="39">
        <v>17244.875759999999</v>
      </c>
      <c r="E343" s="39">
        <v>21211.718734327012</v>
      </c>
      <c r="F343" s="39">
        <v>7231.0439399999996</v>
      </c>
      <c r="G343" s="39">
        <v>6492.2697468161396</v>
      </c>
      <c r="H343" s="40">
        <v>0.23003024373931558</v>
      </c>
      <c r="I343" s="40">
        <v>-0.10216701755844404</v>
      </c>
      <c r="J343" s="40">
        <v>0.13188753765780459</v>
      </c>
    </row>
    <row r="344" spans="1:10" ht="11.25" customHeight="1" x14ac:dyDescent="0.2">
      <c r="A344" s="49">
        <v>44774</v>
      </c>
      <c r="B344" s="39">
        <v>0</v>
      </c>
      <c r="C344" s="39">
        <v>0</v>
      </c>
      <c r="D344" s="39">
        <v>20771.723279999998</v>
      </c>
      <c r="E344" s="39">
        <v>25549.84784898402</v>
      </c>
      <c r="F344" s="39">
        <v>8709.9058199999999</v>
      </c>
      <c r="G344" s="39">
        <v>7820.040719155666</v>
      </c>
      <c r="H344" s="40">
        <v>0.2300302437393158</v>
      </c>
      <c r="I344" s="40">
        <v>-0.10216701755844404</v>
      </c>
      <c r="J344" s="40">
        <v>0.13188753765780503</v>
      </c>
    </row>
    <row r="345" spans="1:10" ht="11.25" customHeight="1" x14ac:dyDescent="0.2">
      <c r="A345" s="44" t="s">
        <v>45</v>
      </c>
      <c r="B345" s="39">
        <v>0</v>
      </c>
      <c r="C345" s="39">
        <v>0</v>
      </c>
      <c r="D345" s="39">
        <v>117418.06496000002</v>
      </c>
      <c r="E345" s="39">
        <v>144427.77106214757</v>
      </c>
      <c r="F345" s="39">
        <v>49235.216240000009</v>
      </c>
      <c r="G345" s="39">
        <v>44205.001037914139</v>
      </c>
      <c r="H345" s="40">
        <v>0.23003024373931513</v>
      </c>
      <c r="I345" s="40">
        <v>-0.10216701755844404</v>
      </c>
      <c r="J345" s="40">
        <v>0.13188753765780437</v>
      </c>
    </row>
    <row r="346" spans="1:10" ht="11.25" customHeight="1" x14ac:dyDescent="0.2">
      <c r="A346" s="45" t="s">
        <v>25</v>
      </c>
      <c r="B346" s="39">
        <v>0</v>
      </c>
      <c r="C346" s="39">
        <v>0</v>
      </c>
      <c r="D346" s="39">
        <v>117418.06496000002</v>
      </c>
      <c r="E346" s="39">
        <v>144427.77106214757</v>
      </c>
      <c r="F346" s="39">
        <v>49235.216240000009</v>
      </c>
      <c r="G346" s="39">
        <v>44205.001037914139</v>
      </c>
      <c r="H346" s="40">
        <v>0.23003024373931513</v>
      </c>
      <c r="I346" s="40">
        <v>-0.10216701755844404</v>
      </c>
      <c r="J346" s="40">
        <v>0.13188753765780437</v>
      </c>
    </row>
    <row r="347" spans="1:10" ht="11.25" customHeight="1" x14ac:dyDescent="0.2">
      <c r="A347" s="46" t="s">
        <v>25</v>
      </c>
      <c r="B347" s="39">
        <v>0</v>
      </c>
      <c r="C347" s="39">
        <v>0</v>
      </c>
      <c r="D347" s="39">
        <v>117418.06496000002</v>
      </c>
      <c r="E347" s="39">
        <v>144427.77106214757</v>
      </c>
      <c r="F347" s="39">
        <v>49235.216240000009</v>
      </c>
      <c r="G347" s="39">
        <v>44205.001037914139</v>
      </c>
      <c r="H347" s="40">
        <v>0.23003024373931513</v>
      </c>
      <c r="I347" s="40">
        <v>-0.10216701755844404</v>
      </c>
      <c r="J347" s="40">
        <v>0.13188753765780437</v>
      </c>
    </row>
    <row r="348" spans="1:10" ht="11.25" customHeight="1" x14ac:dyDescent="0.2">
      <c r="A348" s="47" t="s">
        <v>25</v>
      </c>
      <c r="B348" s="39">
        <v>0</v>
      </c>
      <c r="C348" s="39">
        <v>0</v>
      </c>
      <c r="D348" s="39">
        <v>117418.06496000002</v>
      </c>
      <c r="E348" s="39">
        <v>144427.77106214757</v>
      </c>
      <c r="F348" s="39">
        <v>49235.216240000009</v>
      </c>
      <c r="G348" s="39">
        <v>44205.001037914139</v>
      </c>
      <c r="H348" s="40">
        <v>0.23003024373931513</v>
      </c>
      <c r="I348" s="40">
        <v>-0.10216701755844404</v>
      </c>
      <c r="J348" s="40">
        <v>0.13188753765780437</v>
      </c>
    </row>
    <row r="349" spans="1:10" ht="11.25" customHeight="1" x14ac:dyDescent="0.2">
      <c r="A349" s="48" t="s">
        <v>25</v>
      </c>
      <c r="B349" s="39">
        <v>0</v>
      </c>
      <c r="C349" s="39">
        <v>0</v>
      </c>
      <c r="D349" s="39">
        <v>117418.06496000002</v>
      </c>
      <c r="E349" s="39">
        <v>144427.77106214757</v>
      </c>
      <c r="F349" s="39">
        <v>49235.216240000009</v>
      </c>
      <c r="G349" s="39">
        <v>44205.001037914139</v>
      </c>
      <c r="H349" s="40">
        <v>0.23003024373931513</v>
      </c>
      <c r="I349" s="40">
        <v>-0.10216701755844404</v>
      </c>
      <c r="J349" s="40">
        <v>0.13188753765780437</v>
      </c>
    </row>
    <row r="350" spans="1:10" ht="11.25" customHeight="1" x14ac:dyDescent="0.2">
      <c r="A350" s="49">
        <v>44440</v>
      </c>
      <c r="B350" s="39">
        <v>0</v>
      </c>
      <c r="C350" s="39">
        <v>0</v>
      </c>
      <c r="D350" s="39">
        <v>9458.9678399999993</v>
      </c>
      <c r="E350" s="39">
        <v>11634.816517757547</v>
      </c>
      <c r="F350" s="39">
        <v>3966.29196</v>
      </c>
      <c r="G350" s="39">
        <v>3561.0677396807646</v>
      </c>
      <c r="H350" s="40">
        <v>0.23003024373931558</v>
      </c>
      <c r="I350" s="40">
        <v>-0.10216701755844404</v>
      </c>
      <c r="J350" s="40">
        <v>0.13188753765780459</v>
      </c>
    </row>
    <row r="351" spans="1:10" ht="11.25" customHeight="1" x14ac:dyDescent="0.2">
      <c r="A351" s="49">
        <v>44470</v>
      </c>
      <c r="B351" s="39">
        <v>0</v>
      </c>
      <c r="C351" s="39">
        <v>0</v>
      </c>
      <c r="D351" s="39">
        <v>9147.5669600000001</v>
      </c>
      <c r="E351" s="39">
        <v>11251.784017430511</v>
      </c>
      <c r="F351" s="39">
        <v>3835.7167400000003</v>
      </c>
      <c r="G351" s="39">
        <v>3443.8330004752024</v>
      </c>
      <c r="H351" s="40">
        <v>0.23003024373931558</v>
      </c>
      <c r="I351" s="40">
        <v>-0.10216701755844404</v>
      </c>
      <c r="J351" s="40">
        <v>0.13188753765780481</v>
      </c>
    </row>
    <row r="352" spans="1:10" ht="11.25" customHeight="1" x14ac:dyDescent="0.2">
      <c r="A352" s="49">
        <v>44501</v>
      </c>
      <c r="B352" s="39">
        <v>0</v>
      </c>
      <c r="C352" s="39">
        <v>0</v>
      </c>
      <c r="D352" s="39">
        <v>9197.1784800000005</v>
      </c>
      <c r="E352" s="39">
        <v>11312.807687468388</v>
      </c>
      <c r="F352" s="39">
        <v>3856.5196200000005</v>
      </c>
      <c r="G352" s="39">
        <v>3462.5105122689765</v>
      </c>
      <c r="H352" s="40">
        <v>0.23003024373931558</v>
      </c>
      <c r="I352" s="40">
        <v>-0.10216701755844404</v>
      </c>
      <c r="J352" s="40">
        <v>0.13188753765780459</v>
      </c>
    </row>
    <row r="353" spans="1:10" ht="11.25" customHeight="1" x14ac:dyDescent="0.2">
      <c r="A353" s="49">
        <v>44531</v>
      </c>
      <c r="B353" s="39">
        <v>0</v>
      </c>
      <c r="C353" s="39">
        <v>0</v>
      </c>
      <c r="D353" s="39">
        <v>8573.9337599999999</v>
      </c>
      <c r="E353" s="39">
        <v>10546.197832617549</v>
      </c>
      <c r="F353" s="39">
        <v>3595.1834400000007</v>
      </c>
      <c r="G353" s="39">
        <v>3227.8742703596931</v>
      </c>
      <c r="H353" s="40">
        <v>0.2300302437393158</v>
      </c>
      <c r="I353" s="40">
        <v>-0.10216701755844415</v>
      </c>
      <c r="J353" s="40">
        <v>0.13188753765780481</v>
      </c>
    </row>
    <row r="354" spans="1:10" ht="11.25" customHeight="1" x14ac:dyDescent="0.2">
      <c r="A354" s="49">
        <v>44562</v>
      </c>
      <c r="B354" s="39">
        <v>0</v>
      </c>
      <c r="C354" s="39">
        <v>0</v>
      </c>
      <c r="D354" s="39">
        <v>8078.7044799999994</v>
      </c>
      <c r="E354" s="39">
        <v>9937.0508406323006</v>
      </c>
      <c r="F354" s="39">
        <v>3387.52612</v>
      </c>
      <c r="G354" s="39">
        <v>3041.4326794182721</v>
      </c>
      <c r="H354" s="40">
        <v>0.23003024373931558</v>
      </c>
      <c r="I354" s="40">
        <v>-0.10216701755844404</v>
      </c>
      <c r="J354" s="40">
        <v>0.13188753765780481</v>
      </c>
    </row>
    <row r="355" spans="1:10" ht="11.25" customHeight="1" x14ac:dyDescent="0.2">
      <c r="A355" s="49">
        <v>44593</v>
      </c>
      <c r="B355" s="39">
        <v>0</v>
      </c>
      <c r="C355" s="39">
        <v>0</v>
      </c>
      <c r="D355" s="39">
        <v>9336.2679200000002</v>
      </c>
      <c r="E355" s="39">
        <v>11483.891905253155</v>
      </c>
      <c r="F355" s="39">
        <v>3914.8419800000006</v>
      </c>
      <c r="G355" s="39">
        <v>3514.8742506908065</v>
      </c>
      <c r="H355" s="40">
        <v>0.2300302437393158</v>
      </c>
      <c r="I355" s="40">
        <v>-0.10216701755844404</v>
      </c>
      <c r="J355" s="40">
        <v>0.13188753765780481</v>
      </c>
    </row>
    <row r="356" spans="1:10" ht="11.25" customHeight="1" x14ac:dyDescent="0.2">
      <c r="A356" s="49">
        <v>44621</v>
      </c>
      <c r="B356" s="39">
        <v>0</v>
      </c>
      <c r="C356" s="39">
        <v>0</v>
      </c>
      <c r="D356" s="39">
        <v>13613.489679999999</v>
      </c>
      <c r="E356" s="39">
        <v>16745.00402923306</v>
      </c>
      <c r="F356" s="39">
        <v>5708.3474200000001</v>
      </c>
      <c r="G356" s="39">
        <v>5125.1425889111615</v>
      </c>
      <c r="H356" s="40">
        <v>0.2300302437393158</v>
      </c>
      <c r="I356" s="40">
        <v>-0.10216701755844404</v>
      </c>
      <c r="J356" s="40">
        <v>0.13188753765780503</v>
      </c>
    </row>
    <row r="357" spans="1:10" ht="11.25" customHeight="1" x14ac:dyDescent="0.2">
      <c r="A357" s="49">
        <v>44652</v>
      </c>
      <c r="B357" s="39">
        <v>0</v>
      </c>
      <c r="C357" s="39">
        <v>0</v>
      </c>
      <c r="D357" s="39">
        <v>11104.56424</v>
      </c>
      <c r="E357" s="39">
        <v>13658.949858746088</v>
      </c>
      <c r="F357" s="39">
        <v>4656.3160600000001</v>
      </c>
      <c r="G357" s="39">
        <v>4180.594135340315</v>
      </c>
      <c r="H357" s="40">
        <v>0.23003024373931558</v>
      </c>
      <c r="I357" s="40">
        <v>-0.10216701755844404</v>
      </c>
      <c r="J357" s="40">
        <v>0.13188753765780459</v>
      </c>
    </row>
    <row r="358" spans="1:10" ht="11.25" customHeight="1" x14ac:dyDescent="0.2">
      <c r="A358" s="49">
        <v>44682</v>
      </c>
      <c r="B358" s="39">
        <v>0</v>
      </c>
      <c r="C358" s="39">
        <v>0</v>
      </c>
      <c r="D358" s="39">
        <v>9714.5557599999993</v>
      </c>
      <c r="E358" s="39">
        <v>11949.197389291972</v>
      </c>
      <c r="F358" s="39">
        <v>4073.4639400000005</v>
      </c>
      <c r="G358" s="39">
        <v>3657.2902781183316</v>
      </c>
      <c r="H358" s="40">
        <v>0.2300302437393158</v>
      </c>
      <c r="I358" s="40">
        <v>-0.10216701755844415</v>
      </c>
      <c r="J358" s="40">
        <v>0.13188753765780459</v>
      </c>
    </row>
    <row r="359" spans="1:10" ht="11.25" customHeight="1" x14ac:dyDescent="0.2">
      <c r="A359" s="49">
        <v>44713</v>
      </c>
      <c r="B359" s="39">
        <v>0</v>
      </c>
      <c r="C359" s="39">
        <v>0</v>
      </c>
      <c r="D359" s="39">
        <v>10455.627839999999</v>
      </c>
      <c r="E359" s="39">
        <v>12860.738460482773</v>
      </c>
      <c r="F359" s="39">
        <v>4384.2069600000004</v>
      </c>
      <c r="G359" s="39">
        <v>3936.2856105378273</v>
      </c>
      <c r="H359" s="40">
        <v>0.23003024373931558</v>
      </c>
      <c r="I359" s="40">
        <v>-0.10216701755844415</v>
      </c>
      <c r="J359" s="40">
        <v>0.13188753765780481</v>
      </c>
    </row>
    <row r="360" spans="1:10" ht="11.25" customHeight="1" x14ac:dyDescent="0.2">
      <c r="A360" s="49">
        <v>44743</v>
      </c>
      <c r="B360" s="39">
        <v>0</v>
      </c>
      <c r="C360" s="39">
        <v>0</v>
      </c>
      <c r="D360" s="39">
        <v>9390.7519999999986</v>
      </c>
      <c r="E360" s="39">
        <v>11550.908971455465</v>
      </c>
      <c r="F360" s="39">
        <v>3937.6880000000001</v>
      </c>
      <c r="G360" s="39">
        <v>3535.3861609643254</v>
      </c>
      <c r="H360" s="40">
        <v>0.2300302437393158</v>
      </c>
      <c r="I360" s="40">
        <v>-0.10216701755844415</v>
      </c>
      <c r="J360" s="40">
        <v>0.13188753765780481</v>
      </c>
    </row>
    <row r="361" spans="1:10" ht="11.25" customHeight="1" x14ac:dyDescent="0.2">
      <c r="A361" s="49">
        <v>44774</v>
      </c>
      <c r="B361" s="39">
        <v>0</v>
      </c>
      <c r="C361" s="39">
        <v>0</v>
      </c>
      <c r="D361" s="39">
        <v>9346.4560000000001</v>
      </c>
      <c r="E361" s="39">
        <v>11496.423551778789</v>
      </c>
      <c r="F361" s="39">
        <v>3919.1140000000005</v>
      </c>
      <c r="G361" s="39">
        <v>3518.7098111484565</v>
      </c>
      <c r="H361" s="40">
        <v>0.23003024373931558</v>
      </c>
      <c r="I361" s="40">
        <v>-0.10216701755844404</v>
      </c>
      <c r="J361" s="40">
        <v>0.13188753765780481</v>
      </c>
    </row>
    <row r="362" spans="1:10" ht="11.25" customHeight="1" x14ac:dyDescent="0.2">
      <c r="A362" s="44" t="s">
        <v>50</v>
      </c>
      <c r="B362" s="39">
        <v>0</v>
      </c>
      <c r="C362" s="39">
        <v>0</v>
      </c>
      <c r="D362" s="39">
        <v>27147.698379199992</v>
      </c>
      <c r="E362" s="39">
        <v>33392.490054328802</v>
      </c>
      <c r="F362" s="39">
        <v>11383.451094800001</v>
      </c>
      <c r="G362" s="39">
        <v>10220.437846921879</v>
      </c>
      <c r="H362" s="40">
        <v>0.23003024373931602</v>
      </c>
      <c r="I362" s="40">
        <v>-0.10216701755844415</v>
      </c>
      <c r="J362" s="40">
        <v>0.13188753765780503</v>
      </c>
    </row>
    <row r="363" spans="1:10" ht="11.25" customHeight="1" x14ac:dyDescent="0.2">
      <c r="A363" s="45" t="s">
        <v>51</v>
      </c>
      <c r="B363" s="39">
        <v>0</v>
      </c>
      <c r="C363" s="39">
        <v>0</v>
      </c>
      <c r="D363" s="39">
        <v>26891.224539199993</v>
      </c>
      <c r="E363" s="39">
        <v>33077.01947440084</v>
      </c>
      <c r="F363" s="39">
        <v>11275.907634800002</v>
      </c>
      <c r="G363" s="39">
        <v>10123.881781487995</v>
      </c>
      <c r="H363" s="40">
        <v>0.2300302437393158</v>
      </c>
      <c r="I363" s="40">
        <v>-0.10216701755844415</v>
      </c>
      <c r="J363" s="40">
        <v>0.13188753765780481</v>
      </c>
    </row>
    <row r="364" spans="1:10" ht="11.25" customHeight="1" x14ac:dyDescent="0.2">
      <c r="A364" s="46" t="s">
        <v>25</v>
      </c>
      <c r="B364" s="39">
        <v>0</v>
      </c>
      <c r="C364" s="39">
        <v>0</v>
      </c>
      <c r="D364" s="39">
        <v>26891.224539199993</v>
      </c>
      <c r="E364" s="39">
        <v>33077.01947440084</v>
      </c>
      <c r="F364" s="39">
        <v>11275.907634800002</v>
      </c>
      <c r="G364" s="39">
        <v>10123.881781487995</v>
      </c>
      <c r="H364" s="40">
        <v>0.2300302437393158</v>
      </c>
      <c r="I364" s="40">
        <v>-0.10216701755844415</v>
      </c>
      <c r="J364" s="40">
        <v>0.13188753765780481</v>
      </c>
    </row>
    <row r="365" spans="1:10" ht="11.25" customHeight="1" x14ac:dyDescent="0.2">
      <c r="A365" s="47" t="s">
        <v>25</v>
      </c>
      <c r="B365" s="39">
        <v>0</v>
      </c>
      <c r="C365" s="39">
        <v>0</v>
      </c>
      <c r="D365" s="39">
        <v>26891.224539199993</v>
      </c>
      <c r="E365" s="39">
        <v>33077.01947440084</v>
      </c>
      <c r="F365" s="39">
        <v>11275.907634800002</v>
      </c>
      <c r="G365" s="39">
        <v>10123.881781487995</v>
      </c>
      <c r="H365" s="40">
        <v>0.2300302437393158</v>
      </c>
      <c r="I365" s="40">
        <v>-0.10216701755844415</v>
      </c>
      <c r="J365" s="40">
        <v>0.13188753765780481</v>
      </c>
    </row>
    <row r="366" spans="1:10" ht="11.25" customHeight="1" x14ac:dyDescent="0.2">
      <c r="A366" s="48" t="s">
        <v>25</v>
      </c>
      <c r="B366" s="39">
        <v>0</v>
      </c>
      <c r="C366" s="39">
        <v>0</v>
      </c>
      <c r="D366" s="39">
        <v>26891.224539199993</v>
      </c>
      <c r="E366" s="39">
        <v>33077.01947440084</v>
      </c>
      <c r="F366" s="39">
        <v>11275.907634800002</v>
      </c>
      <c r="G366" s="39">
        <v>10123.881781487995</v>
      </c>
      <c r="H366" s="40">
        <v>0.2300302437393158</v>
      </c>
      <c r="I366" s="40">
        <v>-0.10216701755844415</v>
      </c>
      <c r="J366" s="40">
        <v>0.13188753765780481</v>
      </c>
    </row>
    <row r="367" spans="1:10" ht="11.25" customHeight="1" x14ac:dyDescent="0.2">
      <c r="A367" s="49">
        <v>44440</v>
      </c>
      <c r="B367" s="39">
        <v>0</v>
      </c>
      <c r="C367" s="39">
        <v>0</v>
      </c>
      <c r="D367" s="39">
        <v>3689.1480639999991</v>
      </c>
      <c r="E367" s="39">
        <v>4537.7636923523432</v>
      </c>
      <c r="F367" s="39">
        <v>1546.9170159999999</v>
      </c>
      <c r="G367" s="39">
        <v>1388.873118064872</v>
      </c>
      <c r="H367" s="40">
        <v>0.23003024373931558</v>
      </c>
      <c r="I367" s="40">
        <v>-0.10216701755844404</v>
      </c>
      <c r="J367" s="40">
        <v>0.13188753765780481</v>
      </c>
    </row>
    <row r="368" spans="1:10" ht="11.25" customHeight="1" x14ac:dyDescent="0.2">
      <c r="A368" s="49">
        <v>44470</v>
      </c>
      <c r="B368" s="39">
        <v>0</v>
      </c>
      <c r="C368" s="39">
        <v>0</v>
      </c>
      <c r="D368" s="39">
        <v>3515.1002208</v>
      </c>
      <c r="E368" s="39">
        <v>4323.679581358746</v>
      </c>
      <c r="F368" s="39">
        <v>1473.9360552000001</v>
      </c>
      <c r="G368" s="39">
        <v>1323.3484043683579</v>
      </c>
      <c r="H368" s="40">
        <v>0.23003024373931558</v>
      </c>
      <c r="I368" s="40">
        <v>-0.10216701755844404</v>
      </c>
      <c r="J368" s="40">
        <v>0.13188753765780459</v>
      </c>
    </row>
    <row r="369" spans="1:10" ht="11.25" customHeight="1" x14ac:dyDescent="0.2">
      <c r="A369" s="49">
        <v>44501</v>
      </c>
      <c r="B369" s="39">
        <v>0</v>
      </c>
      <c r="C369" s="39">
        <v>0</v>
      </c>
      <c r="D369" s="39">
        <v>3090.3901727999996</v>
      </c>
      <c r="E369" s="39">
        <v>3801.2733774987692</v>
      </c>
      <c r="F369" s="39">
        <v>1295.8485432</v>
      </c>
      <c r="G369" s="39">
        <v>1163.4555623338013</v>
      </c>
      <c r="H369" s="40">
        <v>0.23003024373931558</v>
      </c>
      <c r="I369" s="40">
        <v>-0.10216701755844415</v>
      </c>
      <c r="J369" s="40">
        <v>0.13188753765780459</v>
      </c>
    </row>
    <row r="370" spans="1:10" ht="11.25" customHeight="1" x14ac:dyDescent="0.2">
      <c r="A370" s="49">
        <v>44531</v>
      </c>
      <c r="B370" s="39">
        <v>0</v>
      </c>
      <c r="C370" s="39">
        <v>0</v>
      </c>
      <c r="D370" s="39">
        <v>2868.8747359999998</v>
      </c>
      <c r="E370" s="39">
        <v>3528.8026907796443</v>
      </c>
      <c r="F370" s="39">
        <v>1202.9636840000001</v>
      </c>
      <c r="G370" s="39">
        <v>1080.0604721746013</v>
      </c>
      <c r="H370" s="40">
        <v>0.23003024373931558</v>
      </c>
      <c r="I370" s="40">
        <v>-0.10216701755844426</v>
      </c>
      <c r="J370" s="40">
        <v>0.13188753765780437</v>
      </c>
    </row>
    <row r="371" spans="1:10" ht="11.25" customHeight="1" x14ac:dyDescent="0.2">
      <c r="A371" s="49">
        <v>44562</v>
      </c>
      <c r="B371" s="39">
        <v>0</v>
      </c>
      <c r="C371" s="39">
        <v>0</v>
      </c>
      <c r="D371" s="39">
        <v>2628.6220911999999</v>
      </c>
      <c r="E371" s="39">
        <v>3233.2846715372852</v>
      </c>
      <c r="F371" s="39">
        <v>1102.2220228000001</v>
      </c>
      <c r="G371" s="39">
        <v>989.6112860432886</v>
      </c>
      <c r="H371" s="40">
        <v>0.23003024373931558</v>
      </c>
      <c r="I371" s="40">
        <v>-0.10216701755844426</v>
      </c>
      <c r="J371" s="40">
        <v>0.13188753765780459</v>
      </c>
    </row>
    <row r="372" spans="1:10" ht="11.25" customHeight="1" x14ac:dyDescent="0.2">
      <c r="A372" s="49">
        <v>44593</v>
      </c>
      <c r="B372" s="39">
        <v>0</v>
      </c>
      <c r="C372" s="39">
        <v>0</v>
      </c>
      <c r="D372" s="39">
        <v>1798.3555855999998</v>
      </c>
      <c r="E372" s="39">
        <v>2212.0317592855276</v>
      </c>
      <c r="F372" s="39">
        <v>754.07839639999997</v>
      </c>
      <c r="G372" s="39">
        <v>677.0364556345578</v>
      </c>
      <c r="H372" s="40">
        <v>0.2300302437393158</v>
      </c>
      <c r="I372" s="40">
        <v>-0.10216701755844415</v>
      </c>
      <c r="J372" s="40">
        <v>0.13188753765780503</v>
      </c>
    </row>
    <row r="373" spans="1:10" ht="11.25" customHeight="1" x14ac:dyDescent="0.2">
      <c r="A373" s="49">
        <v>44621</v>
      </c>
      <c r="B373" s="39">
        <v>0</v>
      </c>
      <c r="C373" s="39">
        <v>0</v>
      </c>
      <c r="D373" s="39">
        <v>1356.9902415999998</v>
      </c>
      <c r="E373" s="39">
        <v>1669.1390376271206</v>
      </c>
      <c r="F373" s="39">
        <v>569.0070604</v>
      </c>
      <c r="G373" s="39">
        <v>510.8733060692345</v>
      </c>
      <c r="H373" s="40">
        <v>0.2300302437393158</v>
      </c>
      <c r="I373" s="40">
        <v>-0.10216701755844415</v>
      </c>
      <c r="J373" s="40">
        <v>0.13188753765780459</v>
      </c>
    </row>
    <row r="374" spans="1:10" ht="11.25" customHeight="1" x14ac:dyDescent="0.2">
      <c r="A374" s="49">
        <v>44652</v>
      </c>
      <c r="B374" s="39">
        <v>0</v>
      </c>
      <c r="C374" s="39">
        <v>0</v>
      </c>
      <c r="D374" s="39">
        <v>1462.7513711999998</v>
      </c>
      <c r="E374" s="39">
        <v>1799.2284256471539</v>
      </c>
      <c r="F374" s="39">
        <v>613.35434279999993</v>
      </c>
      <c r="G374" s="39">
        <v>550.68975888960449</v>
      </c>
      <c r="H374" s="40">
        <v>0.23003024373931558</v>
      </c>
      <c r="I374" s="40">
        <v>-0.10216701755844393</v>
      </c>
      <c r="J374" s="40">
        <v>0.13188753765780481</v>
      </c>
    </row>
    <row r="375" spans="1:10" ht="11.25" customHeight="1" x14ac:dyDescent="0.2">
      <c r="A375" s="49">
        <v>44682</v>
      </c>
      <c r="B375" s="39">
        <v>0</v>
      </c>
      <c r="C375" s="39">
        <v>0</v>
      </c>
      <c r="D375" s="39">
        <v>1818.7583231999999</v>
      </c>
      <c r="E375" s="39">
        <v>2237.127743588605</v>
      </c>
      <c r="F375" s="39">
        <v>762.63358080000012</v>
      </c>
      <c r="G375" s="39">
        <v>684.71758235974733</v>
      </c>
      <c r="H375" s="40">
        <v>0.23003024373931558</v>
      </c>
      <c r="I375" s="40">
        <v>-0.10216701755844426</v>
      </c>
      <c r="J375" s="40">
        <v>0.13188753765780459</v>
      </c>
    </row>
    <row r="376" spans="1:10" ht="11.25" customHeight="1" x14ac:dyDescent="0.2">
      <c r="A376" s="49">
        <v>44713</v>
      </c>
      <c r="B376" s="39">
        <v>0</v>
      </c>
      <c r="C376" s="39">
        <v>0</v>
      </c>
      <c r="D376" s="39">
        <v>1638.0483615999999</v>
      </c>
      <c r="E376" s="39">
        <v>2014.8490254756348</v>
      </c>
      <c r="F376" s="39">
        <v>686.85909040000001</v>
      </c>
      <c r="G376" s="39">
        <v>616.68474565092629</v>
      </c>
      <c r="H376" s="40">
        <v>0.2300302437393158</v>
      </c>
      <c r="I376" s="40">
        <v>-0.10216701755844404</v>
      </c>
      <c r="J376" s="40">
        <v>0.13188753765780481</v>
      </c>
    </row>
    <row r="377" spans="1:10" ht="11.25" customHeight="1" x14ac:dyDescent="0.2">
      <c r="A377" s="49">
        <v>44743</v>
      </c>
      <c r="B377" s="39">
        <v>0</v>
      </c>
      <c r="C377" s="39">
        <v>0</v>
      </c>
      <c r="D377" s="39">
        <v>1516.8810831999997</v>
      </c>
      <c r="E377" s="39">
        <v>1865.8096084920528</v>
      </c>
      <c r="F377" s="39">
        <v>636.05177079999999</v>
      </c>
      <c r="G377" s="39">
        <v>571.06825836459689</v>
      </c>
      <c r="H377" s="40">
        <v>0.23003024373931558</v>
      </c>
      <c r="I377" s="40">
        <v>-0.10216701755844415</v>
      </c>
      <c r="J377" s="40">
        <v>0.13188753765780481</v>
      </c>
    </row>
    <row r="378" spans="1:10" ht="11.25" customHeight="1" x14ac:dyDescent="0.2">
      <c r="A378" s="49">
        <v>44774</v>
      </c>
      <c r="B378" s="39">
        <v>0</v>
      </c>
      <c r="C378" s="39">
        <v>0</v>
      </c>
      <c r="D378" s="39">
        <v>1507.304288</v>
      </c>
      <c r="E378" s="39">
        <v>1854.0298607579557</v>
      </c>
      <c r="F378" s="39">
        <v>632.03607199999999</v>
      </c>
      <c r="G378" s="39">
        <v>567.46283153440595</v>
      </c>
      <c r="H378" s="40">
        <v>0.23003024373931558</v>
      </c>
      <c r="I378" s="40">
        <v>-0.10216701755844415</v>
      </c>
      <c r="J378" s="40">
        <v>0.13188753765780459</v>
      </c>
    </row>
    <row r="379" spans="1:10" ht="11.25" customHeight="1" x14ac:dyDescent="0.2">
      <c r="A379" s="45" t="s">
        <v>53</v>
      </c>
      <c r="B379" s="39">
        <v>0</v>
      </c>
      <c r="C379" s="39">
        <v>0</v>
      </c>
      <c r="D379" s="39">
        <v>256.47384</v>
      </c>
      <c r="E379" s="39">
        <v>315.47057992795823</v>
      </c>
      <c r="F379" s="39">
        <v>107.54346</v>
      </c>
      <c r="G379" s="39">
        <v>96.556065433884172</v>
      </c>
      <c r="H379" s="40">
        <v>0.23003024373931558</v>
      </c>
      <c r="I379" s="40">
        <v>-0.10216701755844404</v>
      </c>
      <c r="J379" s="40">
        <v>0.13188753765780481</v>
      </c>
    </row>
    <row r="380" spans="1:10" ht="11.25" customHeight="1" x14ac:dyDescent="0.2">
      <c r="A380" s="46" t="s">
        <v>25</v>
      </c>
      <c r="B380" s="39">
        <v>0</v>
      </c>
      <c r="C380" s="39">
        <v>0</v>
      </c>
      <c r="D380" s="39">
        <v>256.47384</v>
      </c>
      <c r="E380" s="39">
        <v>315.47057992795823</v>
      </c>
      <c r="F380" s="39">
        <v>107.54346</v>
      </c>
      <c r="G380" s="39">
        <v>96.556065433884172</v>
      </c>
      <c r="H380" s="40">
        <v>0.23003024373931558</v>
      </c>
      <c r="I380" s="40">
        <v>-0.10216701755844404</v>
      </c>
      <c r="J380" s="40">
        <v>0.13188753765780481</v>
      </c>
    </row>
    <row r="381" spans="1:10" ht="11.25" customHeight="1" x14ac:dyDescent="0.2">
      <c r="A381" s="47" t="s">
        <v>25</v>
      </c>
      <c r="B381" s="39">
        <v>0</v>
      </c>
      <c r="C381" s="39">
        <v>0</v>
      </c>
      <c r="D381" s="39">
        <v>256.47384</v>
      </c>
      <c r="E381" s="39">
        <v>315.47057992795823</v>
      </c>
      <c r="F381" s="39">
        <v>107.54346</v>
      </c>
      <c r="G381" s="39">
        <v>96.556065433884172</v>
      </c>
      <c r="H381" s="40">
        <v>0.23003024373931558</v>
      </c>
      <c r="I381" s="40">
        <v>-0.10216701755844404</v>
      </c>
      <c r="J381" s="40">
        <v>0.13188753765780481</v>
      </c>
    </row>
    <row r="382" spans="1:10" ht="11.25" customHeight="1" x14ac:dyDescent="0.2">
      <c r="A382" s="48" t="s">
        <v>25</v>
      </c>
      <c r="B382" s="39">
        <v>0</v>
      </c>
      <c r="C382" s="39">
        <v>0</v>
      </c>
      <c r="D382" s="39">
        <v>256.47384</v>
      </c>
      <c r="E382" s="39">
        <v>315.47057992795823</v>
      </c>
      <c r="F382" s="39">
        <v>107.54346</v>
      </c>
      <c r="G382" s="39">
        <v>96.556065433884172</v>
      </c>
      <c r="H382" s="40">
        <v>0.23003024373931558</v>
      </c>
      <c r="I382" s="40">
        <v>-0.10216701755844404</v>
      </c>
      <c r="J382" s="40">
        <v>0.13188753765780481</v>
      </c>
    </row>
    <row r="383" spans="1:10" ht="11.25" customHeight="1" x14ac:dyDescent="0.2">
      <c r="A383" s="49">
        <v>44440</v>
      </c>
      <c r="B383" s="39">
        <v>0</v>
      </c>
      <c r="C383" s="39">
        <v>0</v>
      </c>
      <c r="D383" s="39">
        <v>13.288799999999998</v>
      </c>
      <c r="E383" s="39">
        <v>16.345625903003018</v>
      </c>
      <c r="F383" s="39">
        <v>5.5722000000000005</v>
      </c>
      <c r="G383" s="39">
        <v>5.0029049447608376</v>
      </c>
      <c r="H383" s="40">
        <v>0.2300302437393158</v>
      </c>
      <c r="I383" s="40">
        <v>-0.10216701755844426</v>
      </c>
      <c r="J383" s="40">
        <v>0.13188753765780481</v>
      </c>
    </row>
    <row r="384" spans="1:10" ht="11.25" customHeight="1" x14ac:dyDescent="0.2">
      <c r="A384" s="49">
        <v>44470</v>
      </c>
      <c r="B384" s="39">
        <v>0</v>
      </c>
      <c r="C384" s="39">
        <v>0</v>
      </c>
      <c r="D384" s="39">
        <v>25.691680000000002</v>
      </c>
      <c r="E384" s="39">
        <v>31.601543412472502</v>
      </c>
      <c r="F384" s="39">
        <v>10.772920000000001</v>
      </c>
      <c r="G384" s="39">
        <v>9.6722828932042866</v>
      </c>
      <c r="H384" s="40">
        <v>0.23003024373931558</v>
      </c>
      <c r="I384" s="40">
        <v>-0.10216701755844415</v>
      </c>
      <c r="J384" s="40">
        <v>0.13188753765780481</v>
      </c>
    </row>
    <row r="385" spans="1:10" ht="11.25" customHeight="1" x14ac:dyDescent="0.2">
      <c r="A385" s="49">
        <v>44501</v>
      </c>
      <c r="B385" s="39">
        <v>0</v>
      </c>
      <c r="C385" s="39">
        <v>0</v>
      </c>
      <c r="D385" s="39">
        <v>18.604320000000001</v>
      </c>
      <c r="E385" s="39">
        <v>22.883876264204225</v>
      </c>
      <c r="F385" s="39">
        <v>7.8010800000000007</v>
      </c>
      <c r="G385" s="39">
        <v>7.0040669226651735</v>
      </c>
      <c r="H385" s="40">
        <v>0.23003024373931558</v>
      </c>
      <c r="I385" s="40">
        <v>-0.10216701755844415</v>
      </c>
      <c r="J385" s="40">
        <v>0.13188753765780481</v>
      </c>
    </row>
    <row r="386" spans="1:10" ht="11.25" customHeight="1" x14ac:dyDescent="0.2">
      <c r="A386" s="49">
        <v>44531</v>
      </c>
      <c r="B386" s="39">
        <v>0</v>
      </c>
      <c r="C386" s="39">
        <v>0</v>
      </c>
      <c r="D386" s="39">
        <v>23.033919999999998</v>
      </c>
      <c r="E386" s="39">
        <v>28.332418231871895</v>
      </c>
      <c r="F386" s="39">
        <v>9.6584800000000008</v>
      </c>
      <c r="G386" s="39">
        <v>8.6717019042521191</v>
      </c>
      <c r="H386" s="40">
        <v>0.23003024373931558</v>
      </c>
      <c r="I386" s="40">
        <v>-0.10216701755844415</v>
      </c>
      <c r="J386" s="40">
        <v>0.13188753765780481</v>
      </c>
    </row>
    <row r="387" spans="1:10" ht="11.25" customHeight="1" x14ac:dyDescent="0.2">
      <c r="A387" s="49">
        <v>44562</v>
      </c>
      <c r="B387" s="39">
        <v>0</v>
      </c>
      <c r="C387" s="39">
        <v>0</v>
      </c>
      <c r="D387" s="39">
        <v>26.134639999999997</v>
      </c>
      <c r="E387" s="39">
        <v>32.146397609239266</v>
      </c>
      <c r="F387" s="39">
        <v>10.95866</v>
      </c>
      <c r="G387" s="39">
        <v>9.8390463913629809</v>
      </c>
      <c r="H387" s="40">
        <v>0.23003024373931558</v>
      </c>
      <c r="I387" s="40">
        <v>-0.10216701755844415</v>
      </c>
      <c r="J387" s="40">
        <v>0.13188753765780459</v>
      </c>
    </row>
    <row r="388" spans="1:10" ht="11.25" customHeight="1" x14ac:dyDescent="0.2">
      <c r="A388" s="49">
        <v>44593</v>
      </c>
      <c r="B388" s="39">
        <v>0</v>
      </c>
      <c r="C388" s="39">
        <v>0</v>
      </c>
      <c r="D388" s="39">
        <v>26.577599999999997</v>
      </c>
      <c r="E388" s="39">
        <v>32.691251806006036</v>
      </c>
      <c r="F388" s="39">
        <v>11.144400000000001</v>
      </c>
      <c r="G388" s="39">
        <v>10.005809889521675</v>
      </c>
      <c r="H388" s="40">
        <v>0.2300302437393158</v>
      </c>
      <c r="I388" s="40">
        <v>-0.10216701755844426</v>
      </c>
      <c r="J388" s="40">
        <v>0.13188753765780481</v>
      </c>
    </row>
    <row r="389" spans="1:10" ht="11.25" customHeight="1" x14ac:dyDescent="0.2">
      <c r="A389" s="49">
        <v>44621</v>
      </c>
      <c r="B389" s="39">
        <v>0</v>
      </c>
      <c r="C389" s="39">
        <v>0</v>
      </c>
      <c r="D389" s="39">
        <v>31.007200000000001</v>
      </c>
      <c r="E389" s="39">
        <v>38.139793773673709</v>
      </c>
      <c r="F389" s="39">
        <v>13.001800000000001</v>
      </c>
      <c r="G389" s="39">
        <v>11.673444871108623</v>
      </c>
      <c r="H389" s="40">
        <v>0.23003024373931558</v>
      </c>
      <c r="I389" s="40">
        <v>-0.10216701755844404</v>
      </c>
      <c r="J389" s="40">
        <v>0.13188753765780481</v>
      </c>
    </row>
    <row r="390" spans="1:10" ht="11.25" customHeight="1" x14ac:dyDescent="0.2">
      <c r="A390" s="49">
        <v>44652</v>
      </c>
      <c r="B390" s="39">
        <v>0</v>
      </c>
      <c r="C390" s="39">
        <v>0</v>
      </c>
      <c r="D390" s="39">
        <v>13.288799999999998</v>
      </c>
      <c r="E390" s="39">
        <v>16.345625903003018</v>
      </c>
      <c r="F390" s="39">
        <v>5.5722000000000005</v>
      </c>
      <c r="G390" s="39">
        <v>5.0029049447608376</v>
      </c>
      <c r="H390" s="40">
        <v>0.2300302437393158</v>
      </c>
      <c r="I390" s="40">
        <v>-0.10216701755844426</v>
      </c>
      <c r="J390" s="40">
        <v>0.13188753765780481</v>
      </c>
    </row>
    <row r="391" spans="1:10" ht="11.25" customHeight="1" x14ac:dyDescent="0.2">
      <c r="A391" s="49">
        <v>44682</v>
      </c>
      <c r="B391" s="39">
        <v>0</v>
      </c>
      <c r="C391" s="39">
        <v>0</v>
      </c>
      <c r="D391" s="39">
        <v>14.61768</v>
      </c>
      <c r="E391" s="39">
        <v>17.98018849330332</v>
      </c>
      <c r="F391" s="39">
        <v>6.1294200000000005</v>
      </c>
      <c r="G391" s="39">
        <v>5.5031954392369222</v>
      </c>
      <c r="H391" s="40">
        <v>0.23003024373931558</v>
      </c>
      <c r="I391" s="40">
        <v>-0.10216701755844404</v>
      </c>
      <c r="J391" s="40">
        <v>0.13188753765780481</v>
      </c>
    </row>
    <row r="392" spans="1:10" ht="11.25" customHeight="1" x14ac:dyDescent="0.2">
      <c r="A392" s="49">
        <v>44713</v>
      </c>
      <c r="B392" s="39">
        <v>0</v>
      </c>
      <c r="C392" s="39">
        <v>0</v>
      </c>
      <c r="D392" s="39">
        <v>15.060640000000001</v>
      </c>
      <c r="E392" s="39">
        <v>18.525042690070087</v>
      </c>
      <c r="F392" s="39">
        <v>6.3151600000000006</v>
      </c>
      <c r="G392" s="39">
        <v>5.6699589373956165</v>
      </c>
      <c r="H392" s="40">
        <v>0.23003024373931558</v>
      </c>
      <c r="I392" s="40">
        <v>-0.10216701755844415</v>
      </c>
      <c r="J392" s="40">
        <v>0.13188753765780481</v>
      </c>
    </row>
    <row r="393" spans="1:10" ht="11.25" customHeight="1" x14ac:dyDescent="0.2">
      <c r="A393" s="49">
        <v>44743</v>
      </c>
      <c r="B393" s="39">
        <v>0</v>
      </c>
      <c r="C393" s="39">
        <v>0</v>
      </c>
      <c r="D393" s="39">
        <v>15.946559999999998</v>
      </c>
      <c r="E393" s="39">
        <v>19.614751083603618</v>
      </c>
      <c r="F393" s="39">
        <v>6.6866399999999997</v>
      </c>
      <c r="G393" s="39">
        <v>6.0034859337130051</v>
      </c>
      <c r="H393" s="40">
        <v>0.23003024373931558</v>
      </c>
      <c r="I393" s="40">
        <v>-0.10216701755844415</v>
      </c>
      <c r="J393" s="40">
        <v>0.13188753765780459</v>
      </c>
    </row>
    <row r="394" spans="1:10" ht="11.25" customHeight="1" x14ac:dyDescent="0.2">
      <c r="A394" s="49">
        <v>44774</v>
      </c>
      <c r="B394" s="39">
        <v>0</v>
      </c>
      <c r="C394" s="39">
        <v>0</v>
      </c>
      <c r="D394" s="39">
        <v>33.221999999999994</v>
      </c>
      <c r="E394" s="39">
        <v>40.864064757507542</v>
      </c>
      <c r="F394" s="39">
        <v>13.9305</v>
      </c>
      <c r="G394" s="39">
        <v>12.507262361902095</v>
      </c>
      <c r="H394" s="40">
        <v>0.2300302437393158</v>
      </c>
      <c r="I394" s="40">
        <v>-0.10216701755844404</v>
      </c>
      <c r="J394" s="40">
        <v>0.13188753765780481</v>
      </c>
    </row>
    <row r="395" spans="1:10" ht="11.25" customHeight="1" x14ac:dyDescent="0.2">
      <c r="A395" s="42" t="s">
        <v>46</v>
      </c>
      <c r="B395" s="39">
        <v>0</v>
      </c>
      <c r="C395" s="39">
        <v>0</v>
      </c>
      <c r="D395" s="39">
        <v>1024503.7877900003</v>
      </c>
      <c r="E395" s="39">
        <v>1260156.7937133827</v>
      </c>
      <c r="F395" s="39">
        <v>429602.50064999994</v>
      </c>
      <c r="G395" s="39">
        <v>385696.13007504295</v>
      </c>
      <c r="H395" s="40">
        <v>0.23001672490808378</v>
      </c>
      <c r="I395" s="40">
        <v>-0.10220231611437436</v>
      </c>
      <c r="J395" s="40">
        <v>0.1318656255548798</v>
      </c>
    </row>
    <row r="396" spans="1:10" ht="11.25" customHeight="1" x14ac:dyDescent="0.2">
      <c r="A396" s="43" t="s">
        <v>23</v>
      </c>
      <c r="B396" s="39">
        <v>0</v>
      </c>
      <c r="C396" s="39">
        <v>0</v>
      </c>
      <c r="D396" s="39">
        <v>1024503.7877900003</v>
      </c>
      <c r="E396" s="39">
        <v>1260156.7937133827</v>
      </c>
      <c r="F396" s="39">
        <v>429602.50064999994</v>
      </c>
      <c r="G396" s="39">
        <v>385696.13007504295</v>
      </c>
      <c r="H396" s="40">
        <v>0.23001672490808378</v>
      </c>
      <c r="I396" s="40">
        <v>-0.10220231611437436</v>
      </c>
      <c r="J396" s="40">
        <v>0.1318656255548798</v>
      </c>
    </row>
    <row r="397" spans="1:10" ht="11.25" customHeight="1" x14ac:dyDescent="0.2">
      <c r="A397" s="44" t="s">
        <v>47</v>
      </c>
      <c r="B397" s="39">
        <v>0</v>
      </c>
      <c r="C397" s="39">
        <v>0</v>
      </c>
      <c r="D397" s="39">
        <v>1024503.7877900003</v>
      </c>
      <c r="E397" s="39">
        <v>1260156.7937133827</v>
      </c>
      <c r="F397" s="39">
        <v>429602.50064999994</v>
      </c>
      <c r="G397" s="39">
        <v>385696.13007504295</v>
      </c>
      <c r="H397" s="40">
        <v>0.23001672490808378</v>
      </c>
      <c r="I397" s="40">
        <v>-0.10220231611437436</v>
      </c>
      <c r="J397" s="40">
        <v>0.1318656255548798</v>
      </c>
    </row>
    <row r="398" spans="1:10" ht="11.25" customHeight="1" x14ac:dyDescent="0.2">
      <c r="A398" s="45" t="s">
        <v>48</v>
      </c>
      <c r="B398" s="39">
        <v>0</v>
      </c>
      <c r="C398" s="39">
        <v>0</v>
      </c>
      <c r="D398" s="39">
        <v>607943.33864999993</v>
      </c>
      <c r="E398" s="39">
        <v>747782.55429511529</v>
      </c>
      <c r="F398" s="39">
        <v>254925.46679999997</v>
      </c>
      <c r="G398" s="39">
        <v>228873.77092128419</v>
      </c>
      <c r="H398" s="40">
        <v>0.23002014621237987</v>
      </c>
      <c r="I398" s="40">
        <v>-0.10219338305322967</v>
      </c>
      <c r="J398" s="40">
        <v>0.13187117096794054</v>
      </c>
    </row>
    <row r="399" spans="1:10" ht="11.25" customHeight="1" x14ac:dyDescent="0.2">
      <c r="A399" s="46" t="s">
        <v>25</v>
      </c>
      <c r="B399" s="39">
        <v>0</v>
      </c>
      <c r="C399" s="39">
        <v>0</v>
      </c>
      <c r="D399" s="39">
        <v>607943.33864999993</v>
      </c>
      <c r="E399" s="39">
        <v>747782.55429511529</v>
      </c>
      <c r="F399" s="39">
        <v>254925.46679999997</v>
      </c>
      <c r="G399" s="39">
        <v>228873.77092128419</v>
      </c>
      <c r="H399" s="40">
        <v>0.23002014621237987</v>
      </c>
      <c r="I399" s="40">
        <v>-0.10219338305322967</v>
      </c>
      <c r="J399" s="40">
        <v>0.13187117096794054</v>
      </c>
    </row>
    <row r="400" spans="1:10" ht="11.25" customHeight="1" x14ac:dyDescent="0.2">
      <c r="A400" s="47" t="s">
        <v>25</v>
      </c>
      <c r="B400" s="39">
        <v>0</v>
      </c>
      <c r="C400" s="39">
        <v>0</v>
      </c>
      <c r="D400" s="39">
        <v>607943.33864999993</v>
      </c>
      <c r="E400" s="39">
        <v>747782.55429511529</v>
      </c>
      <c r="F400" s="39">
        <v>254925.46679999997</v>
      </c>
      <c r="G400" s="39">
        <v>228873.77092128419</v>
      </c>
      <c r="H400" s="40">
        <v>0.23002014621237987</v>
      </c>
      <c r="I400" s="40">
        <v>-0.10219338305322967</v>
      </c>
      <c r="J400" s="40">
        <v>0.13187117096794054</v>
      </c>
    </row>
    <row r="401" spans="1:10" ht="11.25" customHeight="1" x14ac:dyDescent="0.2">
      <c r="A401" s="48" t="s">
        <v>25</v>
      </c>
      <c r="B401" s="39">
        <v>0</v>
      </c>
      <c r="C401" s="39">
        <v>0</v>
      </c>
      <c r="D401" s="39">
        <v>607943.33864999993</v>
      </c>
      <c r="E401" s="39">
        <v>747782.55429511529</v>
      </c>
      <c r="F401" s="39">
        <v>254925.46679999997</v>
      </c>
      <c r="G401" s="39">
        <v>228873.77092128419</v>
      </c>
      <c r="H401" s="40">
        <v>0.23002014621237987</v>
      </c>
      <c r="I401" s="40">
        <v>-0.10219338305322967</v>
      </c>
      <c r="J401" s="40">
        <v>0.13187117096794054</v>
      </c>
    </row>
    <row r="402" spans="1:10" ht="11.25" customHeight="1" x14ac:dyDescent="0.2">
      <c r="A402" s="49">
        <v>44440</v>
      </c>
      <c r="B402" s="39">
        <v>0</v>
      </c>
      <c r="C402" s="39">
        <v>0</v>
      </c>
      <c r="D402" s="39">
        <v>46600.815509999993</v>
      </c>
      <c r="E402" s="39">
        <v>57319.941907226326</v>
      </c>
      <c r="F402" s="39">
        <v>19540.858319999999</v>
      </c>
      <c r="G402" s="39">
        <v>17543.911900515348</v>
      </c>
      <c r="H402" s="40">
        <v>0.23002014621237987</v>
      </c>
      <c r="I402" s="40">
        <v>-0.10219338305322978</v>
      </c>
      <c r="J402" s="40">
        <v>0.13187117096794054</v>
      </c>
    </row>
    <row r="403" spans="1:10" ht="11.25" customHeight="1" x14ac:dyDescent="0.2">
      <c r="A403" s="49">
        <v>44470</v>
      </c>
      <c r="B403" s="39">
        <v>0</v>
      </c>
      <c r="C403" s="39">
        <v>0</v>
      </c>
      <c r="D403" s="39">
        <v>46600.815509999993</v>
      </c>
      <c r="E403" s="39">
        <v>57319.941907226326</v>
      </c>
      <c r="F403" s="39">
        <v>19540.858319999999</v>
      </c>
      <c r="G403" s="39">
        <v>17543.911900515348</v>
      </c>
      <c r="H403" s="40">
        <v>0.23002014621237987</v>
      </c>
      <c r="I403" s="40">
        <v>-0.10219338305322978</v>
      </c>
      <c r="J403" s="40">
        <v>0.13187117096794054</v>
      </c>
    </row>
    <row r="404" spans="1:10" ht="11.25" customHeight="1" x14ac:dyDescent="0.2">
      <c r="A404" s="49">
        <v>44501</v>
      </c>
      <c r="B404" s="39">
        <v>0</v>
      </c>
      <c r="C404" s="39">
        <v>0</v>
      </c>
      <c r="D404" s="39">
        <v>46600.815509999993</v>
      </c>
      <c r="E404" s="39">
        <v>57319.941907226326</v>
      </c>
      <c r="F404" s="39">
        <v>19540.858319999999</v>
      </c>
      <c r="G404" s="39">
        <v>17543.911900515348</v>
      </c>
      <c r="H404" s="40">
        <v>0.23002014621237987</v>
      </c>
      <c r="I404" s="40">
        <v>-0.10219338305322978</v>
      </c>
      <c r="J404" s="40">
        <v>0.13187117096794054</v>
      </c>
    </row>
    <row r="405" spans="1:10" ht="11.25" customHeight="1" x14ac:dyDescent="0.2">
      <c r="A405" s="49">
        <v>44531</v>
      </c>
      <c r="B405" s="39">
        <v>0</v>
      </c>
      <c r="C405" s="39">
        <v>0</v>
      </c>
      <c r="D405" s="39">
        <v>46600.815509999993</v>
      </c>
      <c r="E405" s="39">
        <v>57319.941907226326</v>
      </c>
      <c r="F405" s="39">
        <v>19540.858319999999</v>
      </c>
      <c r="G405" s="39">
        <v>17543.911900515348</v>
      </c>
      <c r="H405" s="40">
        <v>0.23002014621237987</v>
      </c>
      <c r="I405" s="40">
        <v>-0.10219338305322978</v>
      </c>
      <c r="J405" s="40">
        <v>0.13187117096794054</v>
      </c>
    </row>
    <row r="406" spans="1:10" ht="11.25" customHeight="1" x14ac:dyDescent="0.2">
      <c r="A406" s="49">
        <v>44562</v>
      </c>
      <c r="B406" s="39">
        <v>0</v>
      </c>
      <c r="C406" s="39">
        <v>0</v>
      </c>
      <c r="D406" s="39">
        <v>46600.815509999993</v>
      </c>
      <c r="E406" s="39">
        <v>57319.941907226326</v>
      </c>
      <c r="F406" s="39">
        <v>19540.858319999999</v>
      </c>
      <c r="G406" s="39">
        <v>17543.911900515348</v>
      </c>
      <c r="H406" s="40">
        <v>0.23002014621237987</v>
      </c>
      <c r="I406" s="40">
        <v>-0.10219338305322978</v>
      </c>
      <c r="J406" s="40">
        <v>0.13187117096794054</v>
      </c>
    </row>
    <row r="407" spans="1:10" ht="11.25" customHeight="1" x14ac:dyDescent="0.2">
      <c r="A407" s="49">
        <v>44593</v>
      </c>
      <c r="B407" s="39">
        <v>0</v>
      </c>
      <c r="C407" s="39">
        <v>0</v>
      </c>
      <c r="D407" s="39">
        <v>46600.815509999993</v>
      </c>
      <c r="E407" s="39">
        <v>57319.941907226326</v>
      </c>
      <c r="F407" s="39">
        <v>19540.858319999999</v>
      </c>
      <c r="G407" s="39">
        <v>17543.911900515348</v>
      </c>
      <c r="H407" s="40">
        <v>0.23002014621237987</v>
      </c>
      <c r="I407" s="40">
        <v>-0.10219338305322978</v>
      </c>
      <c r="J407" s="40">
        <v>0.13187117096794054</v>
      </c>
    </row>
    <row r="408" spans="1:10" ht="11.25" customHeight="1" x14ac:dyDescent="0.2">
      <c r="A408" s="49">
        <v>44621</v>
      </c>
      <c r="B408" s="39">
        <v>0</v>
      </c>
      <c r="C408" s="39">
        <v>0</v>
      </c>
      <c r="D408" s="39">
        <v>46600.815509999993</v>
      </c>
      <c r="E408" s="39">
        <v>57319.941907226326</v>
      </c>
      <c r="F408" s="39">
        <v>19540.858319999999</v>
      </c>
      <c r="G408" s="39">
        <v>17543.911900515348</v>
      </c>
      <c r="H408" s="40">
        <v>0.23002014621237987</v>
      </c>
      <c r="I408" s="40">
        <v>-0.10219338305322978</v>
      </c>
      <c r="J408" s="40">
        <v>0.13187117096794054</v>
      </c>
    </row>
    <row r="409" spans="1:10" ht="11.25" customHeight="1" x14ac:dyDescent="0.2">
      <c r="A409" s="49">
        <v>44652</v>
      </c>
      <c r="B409" s="39">
        <v>0</v>
      </c>
      <c r="C409" s="39">
        <v>0</v>
      </c>
      <c r="D409" s="39">
        <v>46600.815509999993</v>
      </c>
      <c r="E409" s="39">
        <v>57319.941907226326</v>
      </c>
      <c r="F409" s="39">
        <v>19540.858319999999</v>
      </c>
      <c r="G409" s="39">
        <v>17543.911900515348</v>
      </c>
      <c r="H409" s="40">
        <v>0.23002014621237987</v>
      </c>
      <c r="I409" s="40">
        <v>-0.10219338305322978</v>
      </c>
      <c r="J409" s="40">
        <v>0.13187117096794054</v>
      </c>
    </row>
    <row r="410" spans="1:10" ht="11.25" customHeight="1" x14ac:dyDescent="0.2">
      <c r="A410" s="49">
        <v>44682</v>
      </c>
      <c r="B410" s="39">
        <v>0</v>
      </c>
      <c r="C410" s="39">
        <v>0</v>
      </c>
      <c r="D410" s="39">
        <v>46600.815509999993</v>
      </c>
      <c r="E410" s="39">
        <v>57319.941907226326</v>
      </c>
      <c r="F410" s="39">
        <v>19540.858319999999</v>
      </c>
      <c r="G410" s="39">
        <v>17543.911900515348</v>
      </c>
      <c r="H410" s="40">
        <v>0.23002014621237987</v>
      </c>
      <c r="I410" s="40">
        <v>-0.10219338305322978</v>
      </c>
      <c r="J410" s="40">
        <v>0.13187117096794054</v>
      </c>
    </row>
    <row r="411" spans="1:10" ht="11.25" customHeight="1" x14ac:dyDescent="0.2">
      <c r="A411" s="49">
        <v>44713</v>
      </c>
      <c r="B411" s="39">
        <v>0</v>
      </c>
      <c r="C411" s="39">
        <v>0</v>
      </c>
      <c r="D411" s="39">
        <v>57329.062559999998</v>
      </c>
      <c r="E411" s="39">
        <v>70515.901912269866</v>
      </c>
      <c r="F411" s="39">
        <v>24039.47392</v>
      </c>
      <c r="G411" s="39">
        <v>21582.798753295312</v>
      </c>
      <c r="H411" s="40">
        <v>0.23002014621237987</v>
      </c>
      <c r="I411" s="40">
        <v>-0.10219338305322978</v>
      </c>
      <c r="J411" s="40">
        <v>0.13187117096794054</v>
      </c>
    </row>
    <row r="412" spans="1:10" ht="11.25" customHeight="1" x14ac:dyDescent="0.2">
      <c r="A412" s="49">
        <v>44743</v>
      </c>
      <c r="B412" s="39">
        <v>0</v>
      </c>
      <c r="C412" s="39">
        <v>0</v>
      </c>
      <c r="D412" s="39">
        <v>63894.891060000002</v>
      </c>
      <c r="E412" s="39">
        <v>78592.003243845276</v>
      </c>
      <c r="F412" s="39">
        <v>26792.68592</v>
      </c>
      <c r="G412" s="39">
        <v>24054.650704752563</v>
      </c>
      <c r="H412" s="40">
        <v>0.23002014621237965</v>
      </c>
      <c r="I412" s="40">
        <v>-0.10219338305322978</v>
      </c>
      <c r="J412" s="40">
        <v>0.13187117096794054</v>
      </c>
    </row>
    <row r="413" spans="1:10" ht="11.25" customHeight="1" x14ac:dyDescent="0.2">
      <c r="A413" s="49">
        <v>44774</v>
      </c>
      <c r="B413" s="39">
        <v>0</v>
      </c>
      <c r="C413" s="39">
        <v>0</v>
      </c>
      <c r="D413" s="39">
        <v>67312.045440000002</v>
      </c>
      <c r="E413" s="39">
        <v>82795.171973963152</v>
      </c>
      <c r="F413" s="39">
        <v>28225.58208</v>
      </c>
      <c r="G413" s="39">
        <v>25341.114358598181</v>
      </c>
      <c r="H413" s="40">
        <v>0.23002014621237965</v>
      </c>
      <c r="I413" s="40">
        <v>-0.10219338305322978</v>
      </c>
      <c r="J413" s="40">
        <v>0.13187117096794032</v>
      </c>
    </row>
    <row r="414" spans="1:10" ht="11.25" customHeight="1" x14ac:dyDescent="0.2">
      <c r="A414" s="45" t="s">
        <v>49</v>
      </c>
      <c r="B414" s="39">
        <v>0</v>
      </c>
      <c r="C414" s="39">
        <v>0</v>
      </c>
      <c r="D414" s="39">
        <v>416560.44913999992</v>
      </c>
      <c r="E414" s="39">
        <v>512374.23941826739</v>
      </c>
      <c r="F414" s="39">
        <v>174677.03384999998</v>
      </c>
      <c r="G414" s="39">
        <v>156822.35915375885</v>
      </c>
      <c r="H414" s="40">
        <v>0.23001173173323952</v>
      </c>
      <c r="I414" s="40">
        <v>-0.10221535311604524</v>
      </c>
      <c r="J414" s="40">
        <v>0.13185753242127385</v>
      </c>
    </row>
    <row r="415" spans="1:10" ht="11.25" customHeight="1" x14ac:dyDescent="0.2">
      <c r="A415" s="46" t="s">
        <v>25</v>
      </c>
      <c r="B415" s="39">
        <v>0</v>
      </c>
      <c r="C415" s="39">
        <v>0</v>
      </c>
      <c r="D415" s="39">
        <v>416560.44913999992</v>
      </c>
      <c r="E415" s="39">
        <v>512374.23941826739</v>
      </c>
      <c r="F415" s="39">
        <v>174677.03384999998</v>
      </c>
      <c r="G415" s="39">
        <v>156822.35915375885</v>
      </c>
      <c r="H415" s="40">
        <v>0.23001173173323952</v>
      </c>
      <c r="I415" s="40">
        <v>-0.10221535311604524</v>
      </c>
      <c r="J415" s="40">
        <v>0.13185753242127385</v>
      </c>
    </row>
    <row r="416" spans="1:10" ht="11.25" customHeight="1" x14ac:dyDescent="0.2">
      <c r="A416" s="47" t="s">
        <v>25</v>
      </c>
      <c r="B416" s="39">
        <v>0</v>
      </c>
      <c r="C416" s="39">
        <v>0</v>
      </c>
      <c r="D416" s="39">
        <v>416560.44913999992</v>
      </c>
      <c r="E416" s="39">
        <v>512374.23941826739</v>
      </c>
      <c r="F416" s="39">
        <v>174677.03384999998</v>
      </c>
      <c r="G416" s="39">
        <v>156822.35915375885</v>
      </c>
      <c r="H416" s="40">
        <v>0.23001173173323952</v>
      </c>
      <c r="I416" s="40">
        <v>-0.10221535311604524</v>
      </c>
      <c r="J416" s="40">
        <v>0.13185753242127385</v>
      </c>
    </row>
    <row r="417" spans="1:10" ht="11.25" customHeight="1" x14ac:dyDescent="0.2">
      <c r="A417" s="48" t="s">
        <v>25</v>
      </c>
      <c r="B417" s="39">
        <v>0</v>
      </c>
      <c r="C417" s="39">
        <v>0</v>
      </c>
      <c r="D417" s="39">
        <v>416560.44913999992</v>
      </c>
      <c r="E417" s="39">
        <v>512374.23941826739</v>
      </c>
      <c r="F417" s="39">
        <v>174677.03384999998</v>
      </c>
      <c r="G417" s="39">
        <v>156822.35915375885</v>
      </c>
      <c r="H417" s="40">
        <v>0.23001173173323952</v>
      </c>
      <c r="I417" s="40">
        <v>-0.10221535311604524</v>
      </c>
      <c r="J417" s="40">
        <v>0.13185753242127385</v>
      </c>
    </row>
    <row r="418" spans="1:10" ht="11.25" customHeight="1" x14ac:dyDescent="0.2">
      <c r="A418" s="49">
        <v>44440</v>
      </c>
      <c r="B418" s="39">
        <v>0</v>
      </c>
      <c r="C418" s="39">
        <v>0</v>
      </c>
      <c r="D418" s="39">
        <v>34068.211959999993</v>
      </c>
      <c r="E418" s="39">
        <v>41904.300389974655</v>
      </c>
      <c r="F418" s="39">
        <v>14285.883899999999</v>
      </c>
      <c r="G418" s="39">
        <v>12825.647232586673</v>
      </c>
      <c r="H418" s="40">
        <v>0.23001173173323952</v>
      </c>
      <c r="I418" s="40">
        <v>-0.10221535311604535</v>
      </c>
      <c r="J418" s="40">
        <v>0.13185753242127385</v>
      </c>
    </row>
    <row r="419" spans="1:10" ht="11.25" customHeight="1" x14ac:dyDescent="0.2">
      <c r="A419" s="49">
        <v>44470</v>
      </c>
      <c r="B419" s="39">
        <v>0</v>
      </c>
      <c r="C419" s="39">
        <v>0</v>
      </c>
      <c r="D419" s="39">
        <v>34656.914659999995</v>
      </c>
      <c r="E419" s="39">
        <v>42628.411617477694</v>
      </c>
      <c r="F419" s="39">
        <v>14532.745649999999</v>
      </c>
      <c r="G419" s="39">
        <v>13047.275921639579</v>
      </c>
      <c r="H419" s="40">
        <v>0.23001173173323974</v>
      </c>
      <c r="I419" s="40">
        <v>-0.10221535311604524</v>
      </c>
      <c r="J419" s="40">
        <v>0.13185753242127407</v>
      </c>
    </row>
    <row r="420" spans="1:10" ht="11.25" customHeight="1" x14ac:dyDescent="0.2">
      <c r="A420" s="49">
        <v>44501</v>
      </c>
      <c r="B420" s="39">
        <v>0</v>
      </c>
      <c r="C420" s="39">
        <v>0</v>
      </c>
      <c r="D420" s="39">
        <v>34703.691939999997</v>
      </c>
      <c r="E420" s="39">
        <v>42685.948220656268</v>
      </c>
      <c r="F420" s="39">
        <v>14552.360850000001</v>
      </c>
      <c r="G420" s="39">
        <v>13064.886147045139</v>
      </c>
      <c r="H420" s="40">
        <v>0.23001173173323974</v>
      </c>
      <c r="I420" s="40">
        <v>-0.10221535311604524</v>
      </c>
      <c r="J420" s="40">
        <v>0.13185753242127385</v>
      </c>
    </row>
    <row r="421" spans="1:10" ht="11.25" customHeight="1" x14ac:dyDescent="0.2">
      <c r="A421" s="49">
        <v>44531</v>
      </c>
      <c r="B421" s="39">
        <v>0</v>
      </c>
      <c r="C421" s="39">
        <v>0</v>
      </c>
      <c r="D421" s="39">
        <v>34703.691939999997</v>
      </c>
      <c r="E421" s="39">
        <v>42685.948220656268</v>
      </c>
      <c r="F421" s="39">
        <v>14552.360850000001</v>
      </c>
      <c r="G421" s="39">
        <v>13064.886147045139</v>
      </c>
      <c r="H421" s="40">
        <v>0.23001173173323974</v>
      </c>
      <c r="I421" s="40">
        <v>-0.10221535311604524</v>
      </c>
      <c r="J421" s="40">
        <v>0.13185753242127385</v>
      </c>
    </row>
    <row r="422" spans="1:10" ht="11.25" customHeight="1" x14ac:dyDescent="0.2">
      <c r="A422" s="49">
        <v>44562</v>
      </c>
      <c r="B422" s="39">
        <v>0</v>
      </c>
      <c r="C422" s="39">
        <v>0</v>
      </c>
      <c r="D422" s="39">
        <v>34703.691939999997</v>
      </c>
      <c r="E422" s="39">
        <v>42685.948220656268</v>
      </c>
      <c r="F422" s="39">
        <v>14552.360850000001</v>
      </c>
      <c r="G422" s="39">
        <v>13064.886147045139</v>
      </c>
      <c r="H422" s="40">
        <v>0.23001173173323974</v>
      </c>
      <c r="I422" s="40">
        <v>-0.10221535311604524</v>
      </c>
      <c r="J422" s="40">
        <v>0.13185753242127385</v>
      </c>
    </row>
    <row r="423" spans="1:10" ht="11.25" customHeight="1" x14ac:dyDescent="0.2">
      <c r="A423" s="49">
        <v>44593</v>
      </c>
      <c r="B423" s="39">
        <v>0</v>
      </c>
      <c r="C423" s="39">
        <v>0</v>
      </c>
      <c r="D423" s="39">
        <v>34703.691939999997</v>
      </c>
      <c r="E423" s="39">
        <v>42685.948220656268</v>
      </c>
      <c r="F423" s="39">
        <v>14552.360850000001</v>
      </c>
      <c r="G423" s="39">
        <v>13064.886147045139</v>
      </c>
      <c r="H423" s="40">
        <v>0.23001173173323974</v>
      </c>
      <c r="I423" s="40">
        <v>-0.10221535311604524</v>
      </c>
      <c r="J423" s="40">
        <v>0.13185753242127385</v>
      </c>
    </row>
    <row r="424" spans="1:10" ht="11.25" customHeight="1" x14ac:dyDescent="0.2">
      <c r="A424" s="49">
        <v>44621</v>
      </c>
      <c r="B424" s="39">
        <v>0</v>
      </c>
      <c r="C424" s="39">
        <v>0</v>
      </c>
      <c r="D424" s="39">
        <v>34703.691939999997</v>
      </c>
      <c r="E424" s="39">
        <v>42685.948220656268</v>
      </c>
      <c r="F424" s="39">
        <v>14552.360850000001</v>
      </c>
      <c r="G424" s="39">
        <v>13064.886147045139</v>
      </c>
      <c r="H424" s="40">
        <v>0.23001173173323974</v>
      </c>
      <c r="I424" s="40">
        <v>-0.10221535311604524</v>
      </c>
      <c r="J424" s="40">
        <v>0.13185753242127385</v>
      </c>
    </row>
    <row r="425" spans="1:10" ht="11.25" customHeight="1" x14ac:dyDescent="0.2">
      <c r="A425" s="49">
        <v>44652</v>
      </c>
      <c r="B425" s="39">
        <v>0</v>
      </c>
      <c r="C425" s="39">
        <v>0</v>
      </c>
      <c r="D425" s="39">
        <v>34703.691939999997</v>
      </c>
      <c r="E425" s="39">
        <v>42685.948220656268</v>
      </c>
      <c r="F425" s="39">
        <v>14552.360850000001</v>
      </c>
      <c r="G425" s="39">
        <v>13064.886147045139</v>
      </c>
      <c r="H425" s="40">
        <v>0.23001173173323974</v>
      </c>
      <c r="I425" s="40">
        <v>-0.10221535311604524</v>
      </c>
      <c r="J425" s="40">
        <v>0.13185753242127385</v>
      </c>
    </row>
    <row r="426" spans="1:10" ht="11.25" customHeight="1" x14ac:dyDescent="0.2">
      <c r="A426" s="49">
        <v>44682</v>
      </c>
      <c r="B426" s="39">
        <v>0</v>
      </c>
      <c r="C426" s="39">
        <v>0</v>
      </c>
      <c r="D426" s="39">
        <v>34703.691939999997</v>
      </c>
      <c r="E426" s="39">
        <v>42685.948220656268</v>
      </c>
      <c r="F426" s="39">
        <v>14552.360850000001</v>
      </c>
      <c r="G426" s="39">
        <v>13064.886147045139</v>
      </c>
      <c r="H426" s="40">
        <v>0.23001173173323974</v>
      </c>
      <c r="I426" s="40">
        <v>-0.10221535311604524</v>
      </c>
      <c r="J426" s="40">
        <v>0.13185753242127385</v>
      </c>
    </row>
    <row r="427" spans="1:10" ht="11.25" customHeight="1" x14ac:dyDescent="0.2">
      <c r="A427" s="49">
        <v>44713</v>
      </c>
      <c r="B427" s="39">
        <v>0</v>
      </c>
      <c r="C427" s="39">
        <v>0</v>
      </c>
      <c r="D427" s="39">
        <v>35439.636760000001</v>
      </c>
      <c r="E427" s="39">
        <v>43591.168983164578</v>
      </c>
      <c r="F427" s="39">
        <v>14860.965900000001</v>
      </c>
      <c r="G427" s="39">
        <v>13341.947022885994</v>
      </c>
      <c r="H427" s="40">
        <v>0.23001173173323952</v>
      </c>
      <c r="I427" s="40">
        <v>-0.10221535311604524</v>
      </c>
      <c r="J427" s="40">
        <v>0.13185753242127385</v>
      </c>
    </row>
    <row r="428" spans="1:10" ht="11.25" customHeight="1" x14ac:dyDescent="0.2">
      <c r="A428" s="49">
        <v>44743</v>
      </c>
      <c r="B428" s="39">
        <v>0</v>
      </c>
      <c r="C428" s="39">
        <v>0</v>
      </c>
      <c r="D428" s="39">
        <v>36531.992559999999</v>
      </c>
      <c r="E428" s="39">
        <v>44934.77943239142</v>
      </c>
      <c r="F428" s="39">
        <v>15319.0254</v>
      </c>
      <c r="G428" s="39">
        <v>13753.185809345334</v>
      </c>
      <c r="H428" s="40">
        <v>0.23001173173323952</v>
      </c>
      <c r="I428" s="40">
        <v>-0.10221535311604524</v>
      </c>
      <c r="J428" s="40">
        <v>0.13185753242127385</v>
      </c>
    </row>
    <row r="429" spans="1:10" ht="11.25" customHeight="1" x14ac:dyDescent="0.2">
      <c r="A429" s="49">
        <v>44774</v>
      </c>
      <c r="B429" s="39">
        <v>0</v>
      </c>
      <c r="C429" s="39">
        <v>0</v>
      </c>
      <c r="D429" s="39">
        <v>32937.849619999994</v>
      </c>
      <c r="E429" s="39">
        <v>40513.941450665225</v>
      </c>
      <c r="F429" s="39">
        <v>13811.887050000001</v>
      </c>
      <c r="G429" s="39">
        <v>12400.100137985319</v>
      </c>
      <c r="H429" s="40">
        <v>0.23001173173323974</v>
      </c>
      <c r="I429" s="40">
        <v>-0.10221535311604524</v>
      </c>
      <c r="J429" s="40">
        <v>0.13185753242127407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79ED-D015-4D0E-97F7-A1E522851EA6}">
  <dimension ref="A1:G118"/>
  <sheetViews>
    <sheetView showGridLines="0" workbookViewId="0"/>
  </sheetViews>
  <sheetFormatPr defaultRowHeight="11.25" customHeight="1" x14ac:dyDescent="0.2"/>
  <cols>
    <col min="1" max="1" width="33.21875" style="14" bestFit="1" customWidth="1"/>
    <col min="2" max="2" width="19.77734375" style="39" bestFit="1" customWidth="1"/>
    <col min="3" max="3" width="21.109375" style="39" bestFit="1" customWidth="1"/>
    <col min="4" max="4" width="19.77734375" style="39" bestFit="1" customWidth="1"/>
    <col min="5" max="5" width="21.109375" style="39" bestFit="1" customWidth="1"/>
    <col min="6" max="7" width="13.77734375" style="39" bestFit="1" customWidth="1"/>
    <col min="8" max="16384" width="8.88671875" style="14"/>
  </cols>
  <sheetData>
    <row r="1" spans="1:7" ht="11.25" customHeight="1" x14ac:dyDescent="0.2">
      <c r="A1" s="38" t="s">
        <v>681</v>
      </c>
      <c r="B1" s="39" t="s">
        <v>707</v>
      </c>
      <c r="C1" s="39" t="s">
        <v>708</v>
      </c>
      <c r="D1" s="39" t="s">
        <v>709</v>
      </c>
      <c r="E1" s="39" t="s">
        <v>710</v>
      </c>
      <c r="F1" s="39" t="s">
        <v>711</v>
      </c>
      <c r="G1" s="39" t="s">
        <v>712</v>
      </c>
    </row>
    <row r="2" spans="1:7" ht="11.25" customHeight="1" x14ac:dyDescent="0.2">
      <c r="A2" s="41" t="s">
        <v>698</v>
      </c>
      <c r="B2" s="39">
        <v>0</v>
      </c>
      <c r="C2" s="39">
        <v>2436.1999260000021</v>
      </c>
      <c r="D2" s="39">
        <v>0</v>
      </c>
      <c r="E2" s="39">
        <v>2757.5043354822678</v>
      </c>
      <c r="F2" s="39">
        <v>2436.1999260000021</v>
      </c>
      <c r="G2" s="39">
        <v>2757.5043354822678</v>
      </c>
    </row>
    <row r="3" spans="1:7" ht="11.25" customHeight="1" x14ac:dyDescent="0.2">
      <c r="A3" s="42" t="s">
        <v>35</v>
      </c>
      <c r="B3" s="39">
        <v>0</v>
      </c>
      <c r="C3" s="39">
        <v>2436.1999260000021</v>
      </c>
      <c r="D3" s="39">
        <v>0</v>
      </c>
      <c r="E3" s="39">
        <v>2757.5043354822678</v>
      </c>
      <c r="F3" s="39">
        <v>2436.1999260000021</v>
      </c>
      <c r="G3" s="39">
        <v>2757.5043354822678</v>
      </c>
    </row>
    <row r="4" spans="1:7" ht="11.25" customHeight="1" x14ac:dyDescent="0.2">
      <c r="A4" s="43" t="s">
        <v>23</v>
      </c>
      <c r="B4" s="39">
        <v>0</v>
      </c>
      <c r="C4" s="39">
        <v>2436.1999260000021</v>
      </c>
      <c r="D4" s="39">
        <v>0</v>
      </c>
      <c r="E4" s="39">
        <v>2757.5043354822678</v>
      </c>
      <c r="F4" s="39">
        <v>2436.1999260000021</v>
      </c>
      <c r="G4" s="39">
        <v>2757.5043354822678</v>
      </c>
    </row>
    <row r="5" spans="1:7" ht="11.25" customHeight="1" x14ac:dyDescent="0.2">
      <c r="A5" s="44" t="s">
        <v>50</v>
      </c>
      <c r="B5" s="39">
        <v>0</v>
      </c>
      <c r="C5" s="39">
        <v>2436.1999260000021</v>
      </c>
      <c r="D5" s="39">
        <v>0</v>
      </c>
      <c r="E5" s="39">
        <v>2757.5043354822678</v>
      </c>
      <c r="F5" s="39">
        <v>2436.1999260000021</v>
      </c>
      <c r="G5" s="39">
        <v>2757.5043354822678</v>
      </c>
    </row>
    <row r="6" spans="1:7" ht="11.25" customHeight="1" x14ac:dyDescent="0.2">
      <c r="A6" s="45" t="s">
        <v>51</v>
      </c>
      <c r="B6" s="39">
        <v>0</v>
      </c>
      <c r="C6" s="39">
        <v>2436.1999260000021</v>
      </c>
      <c r="D6" s="39">
        <v>0</v>
      </c>
      <c r="E6" s="39">
        <v>2757.5043354822678</v>
      </c>
      <c r="F6" s="39">
        <v>2436.1999260000021</v>
      </c>
      <c r="G6" s="39">
        <v>2757.5043354822678</v>
      </c>
    </row>
    <row r="7" spans="1:7" ht="11.25" customHeight="1" x14ac:dyDescent="0.2">
      <c r="A7" s="46" t="s">
        <v>25</v>
      </c>
      <c r="B7" s="39">
        <v>0</v>
      </c>
      <c r="C7" s="39">
        <v>2436.1999260000021</v>
      </c>
      <c r="D7" s="39">
        <v>0</v>
      </c>
      <c r="E7" s="39">
        <v>2757.5043354822678</v>
      </c>
      <c r="F7" s="39">
        <v>2436.1999260000021</v>
      </c>
      <c r="G7" s="39">
        <v>2757.5043354822678</v>
      </c>
    </row>
    <row r="8" spans="1:7" ht="11.25" customHeight="1" x14ac:dyDescent="0.2">
      <c r="A8" s="47" t="s">
        <v>25</v>
      </c>
      <c r="B8" s="39">
        <v>0</v>
      </c>
      <c r="C8" s="39">
        <v>2436.1999260000021</v>
      </c>
      <c r="D8" s="39">
        <v>0</v>
      </c>
      <c r="E8" s="39">
        <v>2757.5043354822678</v>
      </c>
      <c r="F8" s="39">
        <v>2436.1999260000021</v>
      </c>
      <c r="G8" s="39">
        <v>2757.5043354822678</v>
      </c>
    </row>
    <row r="9" spans="1:7" ht="11.25" customHeight="1" x14ac:dyDescent="0.2">
      <c r="A9" s="48" t="s">
        <v>25</v>
      </c>
      <c r="B9" s="39">
        <v>0</v>
      </c>
      <c r="C9" s="39">
        <v>2436.1999260000021</v>
      </c>
      <c r="D9" s="39">
        <v>0</v>
      </c>
      <c r="E9" s="39">
        <v>2757.5043354822678</v>
      </c>
      <c r="F9" s="39">
        <v>2436.1999260000021</v>
      </c>
      <c r="G9" s="39">
        <v>2757.5043354822678</v>
      </c>
    </row>
    <row r="10" spans="1:7" ht="11.25" customHeight="1" x14ac:dyDescent="0.2">
      <c r="A10" s="49">
        <v>44440</v>
      </c>
      <c r="B10" s="39">
        <v>0</v>
      </c>
      <c r="C10" s="39">
        <v>334.21692000000058</v>
      </c>
      <c r="D10" s="39">
        <v>0</v>
      </c>
      <c r="E10" s="39">
        <v>378.29596662237617</v>
      </c>
      <c r="F10" s="39">
        <v>334.21692000000058</v>
      </c>
      <c r="G10" s="39">
        <v>378.29596662237617</v>
      </c>
    </row>
    <row r="11" spans="1:7" ht="11.25" customHeight="1" x14ac:dyDescent="0.2">
      <c r="A11" s="49">
        <v>44470</v>
      </c>
      <c r="B11" s="39">
        <v>0</v>
      </c>
      <c r="C11" s="39">
        <v>318.44912400000004</v>
      </c>
      <c r="D11" s="39">
        <v>0</v>
      </c>
      <c r="E11" s="39">
        <v>360.44859483364502</v>
      </c>
      <c r="F11" s="39">
        <v>318.44912400000004</v>
      </c>
      <c r="G11" s="39">
        <v>360.44859483364502</v>
      </c>
    </row>
    <row r="12" spans="1:7" ht="11.25" customHeight="1" x14ac:dyDescent="0.2">
      <c r="A12" s="49">
        <v>44501</v>
      </c>
      <c r="B12" s="39">
        <v>0</v>
      </c>
      <c r="C12" s="39">
        <v>279.97268400000036</v>
      </c>
      <c r="D12" s="39">
        <v>0</v>
      </c>
      <c r="E12" s="39">
        <v>316.8975919042071</v>
      </c>
      <c r="F12" s="39">
        <v>279.97268400000036</v>
      </c>
      <c r="G12" s="39">
        <v>316.8975919042071</v>
      </c>
    </row>
    <row r="13" spans="1:7" ht="11.25" customHeight="1" x14ac:dyDescent="0.2">
      <c r="A13" s="49">
        <v>44531</v>
      </c>
      <c r="B13" s="39">
        <v>0</v>
      </c>
      <c r="C13" s="39">
        <v>259.90458000000012</v>
      </c>
      <c r="D13" s="39">
        <v>0</v>
      </c>
      <c r="E13" s="39">
        <v>294.18275508218608</v>
      </c>
      <c r="F13" s="39">
        <v>259.90458000000012</v>
      </c>
      <c r="G13" s="39">
        <v>294.18275508218608</v>
      </c>
    </row>
    <row r="14" spans="1:7" ht="11.25" customHeight="1" x14ac:dyDescent="0.2">
      <c r="A14" s="49">
        <v>44562</v>
      </c>
      <c r="B14" s="39">
        <v>0</v>
      </c>
      <c r="C14" s="39">
        <v>238.13898599999993</v>
      </c>
      <c r="D14" s="39">
        <v>0</v>
      </c>
      <c r="E14" s="39">
        <v>269.54655048386638</v>
      </c>
      <c r="F14" s="39">
        <v>238.13898599999993</v>
      </c>
      <c r="G14" s="39">
        <v>269.54655048386638</v>
      </c>
    </row>
    <row r="15" spans="1:7" ht="11.25" customHeight="1" x14ac:dyDescent="0.2">
      <c r="A15" s="49">
        <v>44593</v>
      </c>
      <c r="B15" s="39">
        <v>0</v>
      </c>
      <c r="C15" s="39">
        <v>162.92131800000021</v>
      </c>
      <c r="D15" s="39">
        <v>0</v>
      </c>
      <c r="E15" s="39">
        <v>184.40860946298443</v>
      </c>
      <c r="F15" s="39">
        <v>162.92131800000021</v>
      </c>
      <c r="G15" s="39">
        <v>184.40860946298443</v>
      </c>
    </row>
    <row r="16" spans="1:7" ht="11.25" customHeight="1" x14ac:dyDescent="0.2">
      <c r="A16" s="49">
        <v>44621</v>
      </c>
      <c r="B16" s="39">
        <v>0</v>
      </c>
      <c r="C16" s="39">
        <v>122.93599800000018</v>
      </c>
      <c r="D16" s="39">
        <v>0</v>
      </c>
      <c r="E16" s="39">
        <v>139.14972406572502</v>
      </c>
      <c r="F16" s="39">
        <v>122.93599800000018</v>
      </c>
      <c r="G16" s="39">
        <v>139.14972406572502</v>
      </c>
    </row>
    <row r="17" spans="1:7" ht="11.25" customHeight="1" x14ac:dyDescent="0.2">
      <c r="A17" s="49">
        <v>44652</v>
      </c>
      <c r="B17" s="39">
        <v>0</v>
      </c>
      <c r="C17" s="39">
        <v>132.51738600000013</v>
      </c>
      <c r="D17" s="39">
        <v>0</v>
      </c>
      <c r="E17" s="39">
        <v>149.99477773638898</v>
      </c>
      <c r="F17" s="39">
        <v>132.51738600000013</v>
      </c>
      <c r="G17" s="39">
        <v>149.99477773638898</v>
      </c>
    </row>
    <row r="18" spans="1:7" ht="11.25" customHeight="1" x14ac:dyDescent="0.2">
      <c r="A18" s="49">
        <v>44682</v>
      </c>
      <c r="B18" s="39">
        <v>0</v>
      </c>
      <c r="C18" s="39">
        <v>164.76969600000004</v>
      </c>
      <c r="D18" s="39">
        <v>0</v>
      </c>
      <c r="E18" s="39">
        <v>186.50076548606512</v>
      </c>
      <c r="F18" s="39">
        <v>164.76969600000004</v>
      </c>
      <c r="G18" s="39">
        <v>186.50076548606512</v>
      </c>
    </row>
    <row r="19" spans="1:7" ht="11.25" customHeight="1" x14ac:dyDescent="0.2">
      <c r="A19" s="49">
        <v>44713</v>
      </c>
      <c r="B19" s="39">
        <v>0</v>
      </c>
      <c r="C19" s="39">
        <v>148.39834800000003</v>
      </c>
      <c r="D19" s="39">
        <v>0</v>
      </c>
      <c r="E19" s="39">
        <v>167.97024071020604</v>
      </c>
      <c r="F19" s="39">
        <v>148.39834800000003</v>
      </c>
      <c r="G19" s="39">
        <v>167.97024071020604</v>
      </c>
    </row>
    <row r="20" spans="1:7" ht="11.25" customHeight="1" x14ac:dyDescent="0.2">
      <c r="A20" s="49">
        <v>44743</v>
      </c>
      <c r="B20" s="39">
        <v>0</v>
      </c>
      <c r="C20" s="39">
        <v>137.42124600000014</v>
      </c>
      <c r="D20" s="39">
        <v>0</v>
      </c>
      <c r="E20" s="39">
        <v>155.54539575680761</v>
      </c>
      <c r="F20" s="39">
        <v>137.42124600000014</v>
      </c>
      <c r="G20" s="39">
        <v>155.54539575680761</v>
      </c>
    </row>
    <row r="21" spans="1:7" ht="11.25" customHeight="1" x14ac:dyDescent="0.2">
      <c r="A21" s="49">
        <v>44774</v>
      </c>
      <c r="B21" s="39">
        <v>0</v>
      </c>
      <c r="C21" s="39">
        <v>136.55364000000003</v>
      </c>
      <c r="D21" s="39">
        <v>0</v>
      </c>
      <c r="E21" s="39">
        <v>154.56336333781036</v>
      </c>
      <c r="F21" s="39">
        <v>136.55364000000003</v>
      </c>
      <c r="G21" s="39">
        <v>154.56336333781036</v>
      </c>
    </row>
    <row r="22" spans="1:7" ht="11.25" customHeight="1" x14ac:dyDescent="0.2">
      <c r="A22" s="41" t="s">
        <v>696</v>
      </c>
      <c r="B22" s="39">
        <v>0</v>
      </c>
      <c r="C22" s="39">
        <v>79935.44424300002</v>
      </c>
      <c r="D22" s="39">
        <v>0</v>
      </c>
      <c r="E22" s="39">
        <v>86239.323907695274</v>
      </c>
      <c r="F22" s="39">
        <v>79935.444243000049</v>
      </c>
      <c r="G22" s="39">
        <v>86239.323907695289</v>
      </c>
    </row>
    <row r="23" spans="1:7" ht="11.25" customHeight="1" x14ac:dyDescent="0.2">
      <c r="A23" s="42" t="s">
        <v>22</v>
      </c>
      <c r="B23" s="39">
        <v>0</v>
      </c>
      <c r="C23" s="39">
        <v>79935.44424300002</v>
      </c>
      <c r="D23" s="39">
        <v>0</v>
      </c>
      <c r="E23" s="39">
        <v>86239.323907695274</v>
      </c>
      <c r="F23" s="39">
        <v>79935.444243000049</v>
      </c>
      <c r="G23" s="39">
        <v>86239.323907695289</v>
      </c>
    </row>
    <row r="24" spans="1:7" ht="11.25" customHeight="1" x14ac:dyDescent="0.2">
      <c r="A24" s="43" t="s">
        <v>23</v>
      </c>
      <c r="B24" s="39">
        <v>0</v>
      </c>
      <c r="C24" s="39">
        <v>79935.44424300002</v>
      </c>
      <c r="D24" s="39">
        <v>0</v>
      </c>
      <c r="E24" s="39">
        <v>86239.323907695274</v>
      </c>
      <c r="F24" s="39">
        <v>79935.444243000049</v>
      </c>
      <c r="G24" s="39">
        <v>86239.323907695289</v>
      </c>
    </row>
    <row r="25" spans="1:7" ht="11.25" customHeight="1" x14ac:dyDescent="0.2">
      <c r="A25" s="44" t="s">
        <v>24</v>
      </c>
      <c r="B25" s="39">
        <v>0</v>
      </c>
      <c r="C25" s="39">
        <v>79935.44424300002</v>
      </c>
      <c r="D25" s="39">
        <v>0</v>
      </c>
      <c r="E25" s="39">
        <v>86239.323907695274</v>
      </c>
      <c r="F25" s="39">
        <v>79935.444243000049</v>
      </c>
      <c r="G25" s="39">
        <v>86239.323907695289</v>
      </c>
    </row>
    <row r="26" spans="1:7" ht="11.25" customHeight="1" x14ac:dyDescent="0.2">
      <c r="A26" s="45" t="s">
        <v>29</v>
      </c>
      <c r="B26" s="39">
        <v>0</v>
      </c>
      <c r="C26" s="39">
        <v>31456.838763000003</v>
      </c>
      <c r="D26" s="39">
        <v>0</v>
      </c>
      <c r="E26" s="39">
        <v>33936.403859795231</v>
      </c>
      <c r="F26" s="39">
        <v>31456.838763000003</v>
      </c>
      <c r="G26" s="39">
        <v>33936.403859795231</v>
      </c>
    </row>
    <row r="27" spans="1:7" ht="11.25" customHeight="1" x14ac:dyDescent="0.2">
      <c r="A27" s="46" t="s">
        <v>25</v>
      </c>
      <c r="B27" s="39">
        <v>0</v>
      </c>
      <c r="C27" s="39">
        <v>31456.838763000003</v>
      </c>
      <c r="D27" s="39">
        <v>0</v>
      </c>
      <c r="E27" s="39">
        <v>33936.403859795231</v>
      </c>
      <c r="F27" s="39">
        <v>31456.838763000003</v>
      </c>
      <c r="G27" s="39">
        <v>33936.403859795231</v>
      </c>
    </row>
    <row r="28" spans="1:7" ht="11.25" customHeight="1" x14ac:dyDescent="0.2">
      <c r="A28" s="47" t="s">
        <v>25</v>
      </c>
      <c r="B28" s="39">
        <v>0</v>
      </c>
      <c r="C28" s="39">
        <v>31456.838763000003</v>
      </c>
      <c r="D28" s="39">
        <v>0</v>
      </c>
      <c r="E28" s="39">
        <v>33936.403859795231</v>
      </c>
      <c r="F28" s="39">
        <v>31456.838763000003</v>
      </c>
      <c r="G28" s="39">
        <v>33936.403859795231</v>
      </c>
    </row>
    <row r="29" spans="1:7" ht="11.25" customHeight="1" x14ac:dyDescent="0.2">
      <c r="A29" s="48" t="s">
        <v>25</v>
      </c>
      <c r="B29" s="39">
        <v>0</v>
      </c>
      <c r="C29" s="39">
        <v>31456.838763000003</v>
      </c>
      <c r="D29" s="39">
        <v>0</v>
      </c>
      <c r="E29" s="39">
        <v>33936.403859795231</v>
      </c>
      <c r="F29" s="39">
        <v>31456.838763000003</v>
      </c>
      <c r="G29" s="39">
        <v>33936.403859795231</v>
      </c>
    </row>
    <row r="30" spans="1:7" ht="11.25" customHeight="1" x14ac:dyDescent="0.2">
      <c r="A30" s="49">
        <v>44440</v>
      </c>
      <c r="B30" s="39">
        <v>0</v>
      </c>
      <c r="C30" s="39">
        <v>2199.2013000000002</v>
      </c>
      <c r="D30" s="39">
        <v>0</v>
      </c>
      <c r="E30" s="39">
        <v>2372.5518905964727</v>
      </c>
      <c r="F30" s="39">
        <v>2199.2013000000002</v>
      </c>
      <c r="G30" s="39">
        <v>2372.5518905964727</v>
      </c>
    </row>
    <row r="31" spans="1:7" ht="11.25" customHeight="1" x14ac:dyDescent="0.2">
      <c r="A31" s="49">
        <v>44470</v>
      </c>
      <c r="B31" s="39">
        <v>0</v>
      </c>
      <c r="C31" s="39">
        <v>2188.2600000000002</v>
      </c>
      <c r="D31" s="39">
        <v>0</v>
      </c>
      <c r="E31" s="39">
        <v>2360.7481498472362</v>
      </c>
      <c r="F31" s="39">
        <v>2188.2600000000002</v>
      </c>
      <c r="G31" s="39">
        <v>2360.7481498472362</v>
      </c>
    </row>
    <row r="32" spans="1:7" ht="11.25" customHeight="1" x14ac:dyDescent="0.2">
      <c r="A32" s="49">
        <v>44501</v>
      </c>
      <c r="B32" s="39">
        <v>0</v>
      </c>
      <c r="C32" s="39">
        <v>2212.1484599999999</v>
      </c>
      <c r="D32" s="39">
        <v>0</v>
      </c>
      <c r="E32" s="39">
        <v>2386.5196504830687</v>
      </c>
      <c r="F32" s="39">
        <v>2212.1484599999999</v>
      </c>
      <c r="G32" s="39">
        <v>2386.5196504830687</v>
      </c>
    </row>
    <row r="33" spans="1:7" ht="11.25" customHeight="1" x14ac:dyDescent="0.2">
      <c r="A33" s="49">
        <v>44531</v>
      </c>
      <c r="B33" s="39">
        <v>0</v>
      </c>
      <c r="C33" s="39">
        <v>2199.2013000000002</v>
      </c>
      <c r="D33" s="39">
        <v>0</v>
      </c>
      <c r="E33" s="39">
        <v>2372.5518905964727</v>
      </c>
      <c r="F33" s="39">
        <v>2199.2013000000002</v>
      </c>
      <c r="G33" s="39">
        <v>2372.5518905964727</v>
      </c>
    </row>
    <row r="34" spans="1:7" ht="11.25" customHeight="1" x14ac:dyDescent="0.2">
      <c r="A34" s="49">
        <v>44562</v>
      </c>
      <c r="B34" s="39">
        <v>0</v>
      </c>
      <c r="C34" s="39">
        <v>2177.3187000000003</v>
      </c>
      <c r="D34" s="39">
        <v>0</v>
      </c>
      <c r="E34" s="39">
        <v>2348.9444090980001</v>
      </c>
      <c r="F34" s="39">
        <v>2177.3187000000003</v>
      </c>
      <c r="G34" s="39">
        <v>2348.9444090980001</v>
      </c>
    </row>
    <row r="35" spans="1:7" ht="11.25" customHeight="1" x14ac:dyDescent="0.2">
      <c r="A35" s="49">
        <v>44593</v>
      </c>
      <c r="B35" s="39">
        <v>0</v>
      </c>
      <c r="C35" s="39">
        <v>2120.9709600000001</v>
      </c>
      <c r="D35" s="39">
        <v>0</v>
      </c>
      <c r="E35" s="39">
        <v>2288.1551442394339</v>
      </c>
      <c r="F35" s="39">
        <v>2120.9709600000001</v>
      </c>
      <c r="G35" s="39">
        <v>2288.1551442394339</v>
      </c>
    </row>
    <row r="36" spans="1:7" ht="11.25" customHeight="1" x14ac:dyDescent="0.2">
      <c r="A36" s="49">
        <v>44621</v>
      </c>
      <c r="B36" s="39">
        <v>0</v>
      </c>
      <c r="C36" s="39">
        <v>2399.9741100000001</v>
      </c>
      <c r="D36" s="39">
        <v>0</v>
      </c>
      <c r="E36" s="39">
        <v>2589.1505333449563</v>
      </c>
      <c r="F36" s="39">
        <v>2399.9741100000001</v>
      </c>
      <c r="G36" s="39">
        <v>2589.1505333449563</v>
      </c>
    </row>
    <row r="37" spans="1:7" ht="11.25" customHeight="1" x14ac:dyDescent="0.2">
      <c r="A37" s="49">
        <v>44652</v>
      </c>
      <c r="B37" s="39">
        <v>0</v>
      </c>
      <c r="C37" s="39">
        <v>4076.9652030000007</v>
      </c>
      <c r="D37" s="39">
        <v>0</v>
      </c>
      <c r="E37" s="39">
        <v>4398.3295508816345</v>
      </c>
      <c r="F37" s="39">
        <v>4076.9652030000007</v>
      </c>
      <c r="G37" s="39">
        <v>4398.3295508816345</v>
      </c>
    </row>
    <row r="38" spans="1:7" ht="11.25" customHeight="1" x14ac:dyDescent="0.2">
      <c r="A38" s="49">
        <v>44682</v>
      </c>
      <c r="B38" s="39">
        <v>0</v>
      </c>
      <c r="C38" s="39">
        <v>3129.75873</v>
      </c>
      <c r="D38" s="39">
        <v>0</v>
      </c>
      <c r="E38" s="39">
        <v>3376.4600413190096</v>
      </c>
      <c r="F38" s="39">
        <v>3129.75873</v>
      </c>
      <c r="G38" s="39">
        <v>3376.4600413190096</v>
      </c>
    </row>
    <row r="39" spans="1:7" ht="11.25" customHeight="1" x14ac:dyDescent="0.2">
      <c r="A39" s="49">
        <v>44713</v>
      </c>
      <c r="B39" s="39">
        <v>0</v>
      </c>
      <c r="C39" s="39">
        <v>3172.9769999999999</v>
      </c>
      <c r="D39" s="39">
        <v>0</v>
      </c>
      <c r="E39" s="39">
        <v>3423.0848172784927</v>
      </c>
      <c r="F39" s="39">
        <v>3172.9769999999999</v>
      </c>
      <c r="G39" s="39">
        <v>3423.0848172784927</v>
      </c>
    </row>
    <row r="40" spans="1:7" ht="11.25" customHeight="1" x14ac:dyDescent="0.2">
      <c r="A40" s="49">
        <v>44743</v>
      </c>
      <c r="B40" s="39">
        <v>0</v>
      </c>
      <c r="C40" s="39">
        <v>3118.2705000000005</v>
      </c>
      <c r="D40" s="39">
        <v>0</v>
      </c>
      <c r="E40" s="39">
        <v>3364.0661135323121</v>
      </c>
      <c r="F40" s="39">
        <v>3118.2705000000005</v>
      </c>
      <c r="G40" s="39">
        <v>3364.0661135323121</v>
      </c>
    </row>
    <row r="41" spans="1:7" ht="11.25" customHeight="1" x14ac:dyDescent="0.2">
      <c r="A41" s="49">
        <v>44774</v>
      </c>
      <c r="B41" s="39">
        <v>0</v>
      </c>
      <c r="C41" s="39">
        <v>2461.7925000000005</v>
      </c>
      <c r="D41" s="39">
        <v>0</v>
      </c>
      <c r="E41" s="39">
        <v>2655.8416685781408</v>
      </c>
      <c r="F41" s="39">
        <v>2461.7925000000005</v>
      </c>
      <c r="G41" s="39">
        <v>2655.8416685781408</v>
      </c>
    </row>
    <row r="42" spans="1:7" ht="11.25" customHeight="1" x14ac:dyDescent="0.2">
      <c r="A42" s="45" t="s">
        <v>30</v>
      </c>
      <c r="B42" s="39">
        <v>0</v>
      </c>
      <c r="C42" s="39">
        <v>38704.705481999998</v>
      </c>
      <c r="D42" s="39">
        <v>0</v>
      </c>
      <c r="E42" s="39">
        <v>41756.864848894838</v>
      </c>
      <c r="F42" s="39">
        <v>38704.705481999998</v>
      </c>
      <c r="G42" s="39">
        <v>41756.864848894838</v>
      </c>
    </row>
    <row r="43" spans="1:7" ht="11.25" customHeight="1" x14ac:dyDescent="0.2">
      <c r="A43" s="46" t="s">
        <v>25</v>
      </c>
      <c r="B43" s="39">
        <v>0</v>
      </c>
      <c r="C43" s="39">
        <v>38704.705481999998</v>
      </c>
      <c r="D43" s="39">
        <v>0</v>
      </c>
      <c r="E43" s="39">
        <v>41756.864848894838</v>
      </c>
      <c r="F43" s="39">
        <v>38704.705481999998</v>
      </c>
      <c r="G43" s="39">
        <v>41756.864848894838</v>
      </c>
    </row>
    <row r="44" spans="1:7" ht="11.25" customHeight="1" x14ac:dyDescent="0.2">
      <c r="A44" s="47" t="s">
        <v>25</v>
      </c>
      <c r="B44" s="39">
        <v>0</v>
      </c>
      <c r="C44" s="39">
        <v>38704.705481999998</v>
      </c>
      <c r="D44" s="39">
        <v>0</v>
      </c>
      <c r="E44" s="39">
        <v>41756.864848894838</v>
      </c>
      <c r="F44" s="39">
        <v>38704.705481999998</v>
      </c>
      <c r="G44" s="39">
        <v>41756.864848894838</v>
      </c>
    </row>
    <row r="45" spans="1:7" ht="11.25" customHeight="1" x14ac:dyDescent="0.2">
      <c r="A45" s="48" t="s">
        <v>25</v>
      </c>
      <c r="B45" s="39">
        <v>0</v>
      </c>
      <c r="C45" s="39">
        <v>38704.705481999998</v>
      </c>
      <c r="D45" s="39">
        <v>0</v>
      </c>
      <c r="E45" s="39">
        <v>41756.864848894838</v>
      </c>
      <c r="F45" s="39">
        <v>38704.705481999998</v>
      </c>
      <c r="G45" s="39">
        <v>41756.864848894838</v>
      </c>
    </row>
    <row r="46" spans="1:7" ht="11.25" customHeight="1" x14ac:dyDescent="0.2">
      <c r="A46" s="49">
        <v>44440</v>
      </c>
      <c r="B46" s="39">
        <v>0</v>
      </c>
      <c r="C46" s="39">
        <v>2727.9466499999999</v>
      </c>
      <c r="D46" s="39">
        <v>0</v>
      </c>
      <c r="E46" s="39">
        <v>2943.0660268095548</v>
      </c>
      <c r="F46" s="39">
        <v>2727.9466499999999</v>
      </c>
      <c r="G46" s="39">
        <v>2943.0660268095548</v>
      </c>
    </row>
    <row r="47" spans="1:7" ht="11.25" customHeight="1" x14ac:dyDescent="0.2">
      <c r="A47" s="49">
        <v>44470</v>
      </c>
      <c r="B47" s="39">
        <v>0</v>
      </c>
      <c r="C47" s="39">
        <v>2723.9069100000002</v>
      </c>
      <c r="D47" s="39">
        <v>0</v>
      </c>
      <c r="E47" s="39">
        <v>2938.707722532914</v>
      </c>
      <c r="F47" s="39">
        <v>2723.9069100000002</v>
      </c>
      <c r="G47" s="39">
        <v>2938.707722532914</v>
      </c>
    </row>
    <row r="48" spans="1:7" ht="11.25" customHeight="1" x14ac:dyDescent="0.2">
      <c r="A48" s="49">
        <v>44501</v>
      </c>
      <c r="B48" s="39">
        <v>0</v>
      </c>
      <c r="C48" s="39">
        <v>2707.2543719999999</v>
      </c>
      <c r="D48" s="39">
        <v>0</v>
      </c>
      <c r="E48" s="39">
        <v>2920.7418237925381</v>
      </c>
      <c r="F48" s="39">
        <v>2707.2543719999999</v>
      </c>
      <c r="G48" s="39">
        <v>2920.7418237925381</v>
      </c>
    </row>
    <row r="49" spans="1:7" ht="11.25" customHeight="1" x14ac:dyDescent="0.2">
      <c r="A49" s="49">
        <v>44531</v>
      </c>
      <c r="B49" s="39">
        <v>0</v>
      </c>
      <c r="C49" s="39">
        <v>2761.8355799999999</v>
      </c>
      <c r="D49" s="39">
        <v>0</v>
      </c>
      <c r="E49" s="39">
        <v>2979.6273571302659</v>
      </c>
      <c r="F49" s="39">
        <v>2761.8355799999999</v>
      </c>
      <c r="G49" s="39">
        <v>2979.6273571302659</v>
      </c>
    </row>
    <row r="50" spans="1:7" ht="11.25" customHeight="1" x14ac:dyDescent="0.2">
      <c r="A50" s="49">
        <v>44562</v>
      </c>
      <c r="B50" s="39">
        <v>0</v>
      </c>
      <c r="C50" s="39">
        <v>2788.5427500000001</v>
      </c>
      <c r="D50" s="39">
        <v>0</v>
      </c>
      <c r="E50" s="39">
        <v>3008.4405909591705</v>
      </c>
      <c r="F50" s="39">
        <v>2788.5427500000001</v>
      </c>
      <c r="G50" s="39">
        <v>3008.4405909591705</v>
      </c>
    </row>
    <row r="51" spans="1:7" ht="11.25" customHeight="1" x14ac:dyDescent="0.2">
      <c r="A51" s="49">
        <v>44593</v>
      </c>
      <c r="B51" s="39">
        <v>0</v>
      </c>
      <c r="C51" s="39">
        <v>2867.7665400000001</v>
      </c>
      <c r="D51" s="39">
        <v>0</v>
      </c>
      <c r="E51" s="39">
        <v>3093.9117803844092</v>
      </c>
      <c r="F51" s="39">
        <v>2867.7665400000001</v>
      </c>
      <c r="G51" s="39">
        <v>3093.9117803844092</v>
      </c>
    </row>
    <row r="52" spans="1:7" ht="11.25" customHeight="1" x14ac:dyDescent="0.2">
      <c r="A52" s="49">
        <v>44621</v>
      </c>
      <c r="B52" s="39">
        <v>0</v>
      </c>
      <c r="C52" s="39">
        <v>3091.0743900000002</v>
      </c>
      <c r="D52" s="39">
        <v>0</v>
      </c>
      <c r="E52" s="39">
        <v>3334.8291556765116</v>
      </c>
      <c r="F52" s="39">
        <v>3091.0743900000002</v>
      </c>
      <c r="G52" s="39">
        <v>3334.8291556765116</v>
      </c>
    </row>
    <row r="53" spans="1:7" ht="11.25" customHeight="1" x14ac:dyDescent="0.2">
      <c r="A53" s="49">
        <v>44652</v>
      </c>
      <c r="B53" s="39">
        <v>0</v>
      </c>
      <c r="C53" s="39">
        <v>4985.71245</v>
      </c>
      <c r="D53" s="39">
        <v>0</v>
      </c>
      <c r="E53" s="39">
        <v>5378.8738614211652</v>
      </c>
      <c r="F53" s="39">
        <v>4985.71245</v>
      </c>
      <c r="G53" s="39">
        <v>5378.8738614211652</v>
      </c>
    </row>
    <row r="54" spans="1:7" ht="11.25" customHeight="1" x14ac:dyDescent="0.2">
      <c r="A54" s="49">
        <v>44682</v>
      </c>
      <c r="B54" s="39">
        <v>0</v>
      </c>
      <c r="C54" s="39">
        <v>3765.4878000000003</v>
      </c>
      <c r="D54" s="39">
        <v>0</v>
      </c>
      <c r="E54" s="39">
        <v>4062.4238418601985</v>
      </c>
      <c r="F54" s="39">
        <v>3765.4878000000003</v>
      </c>
      <c r="G54" s="39">
        <v>4062.4238418601985</v>
      </c>
    </row>
    <row r="55" spans="1:7" ht="11.25" customHeight="1" x14ac:dyDescent="0.2">
      <c r="A55" s="49">
        <v>44713</v>
      </c>
      <c r="B55" s="39">
        <v>0</v>
      </c>
      <c r="C55" s="39">
        <v>3695.9132400000003</v>
      </c>
      <c r="D55" s="39">
        <v>0</v>
      </c>
      <c r="E55" s="39">
        <v>3987.3641570958248</v>
      </c>
      <c r="F55" s="39">
        <v>3695.9132400000003</v>
      </c>
      <c r="G55" s="39">
        <v>3987.3641570958248</v>
      </c>
    </row>
    <row r="56" spans="1:7" ht="11.25" customHeight="1" x14ac:dyDescent="0.2">
      <c r="A56" s="49">
        <v>44743</v>
      </c>
      <c r="B56" s="39">
        <v>0</v>
      </c>
      <c r="C56" s="39">
        <v>3569.3347200000003</v>
      </c>
      <c r="D56" s="39">
        <v>0</v>
      </c>
      <c r="E56" s="39">
        <v>3850.8039564277383</v>
      </c>
      <c r="F56" s="39">
        <v>3569.3347200000003</v>
      </c>
      <c r="G56" s="39">
        <v>3850.8039564277383</v>
      </c>
    </row>
    <row r="57" spans="1:7" ht="11.25" customHeight="1" x14ac:dyDescent="0.2">
      <c r="A57" s="49">
        <v>44774</v>
      </c>
      <c r="B57" s="39">
        <v>0</v>
      </c>
      <c r="C57" s="39">
        <v>3019.9300800000001</v>
      </c>
      <c r="D57" s="39">
        <v>0</v>
      </c>
      <c r="E57" s="39">
        <v>3258.0745748045551</v>
      </c>
      <c r="F57" s="39">
        <v>3019.9300800000001</v>
      </c>
      <c r="G57" s="39">
        <v>3258.0745748045551</v>
      </c>
    </row>
    <row r="58" spans="1:7" ht="11.25" customHeight="1" x14ac:dyDescent="0.2">
      <c r="A58" s="45" t="s">
        <v>31</v>
      </c>
      <c r="B58" s="39">
        <v>0</v>
      </c>
      <c r="C58" s="39">
        <v>9773.8999980000081</v>
      </c>
      <c r="D58" s="39">
        <v>0</v>
      </c>
      <c r="E58" s="39">
        <v>10546.05519900525</v>
      </c>
      <c r="F58" s="39">
        <v>9773.8999980000081</v>
      </c>
      <c r="G58" s="39">
        <v>10546.05519900525</v>
      </c>
    </row>
    <row r="59" spans="1:7" ht="11.25" customHeight="1" x14ac:dyDescent="0.2">
      <c r="A59" s="46" t="s">
        <v>25</v>
      </c>
      <c r="B59" s="39">
        <v>0</v>
      </c>
      <c r="C59" s="39">
        <v>9773.8999980000081</v>
      </c>
      <c r="D59" s="39">
        <v>0</v>
      </c>
      <c r="E59" s="39">
        <v>10546.05519900525</v>
      </c>
      <c r="F59" s="39">
        <v>9773.8999980000081</v>
      </c>
      <c r="G59" s="39">
        <v>10546.05519900525</v>
      </c>
    </row>
    <row r="60" spans="1:7" ht="11.25" customHeight="1" x14ac:dyDescent="0.2">
      <c r="A60" s="47" t="s">
        <v>25</v>
      </c>
      <c r="B60" s="39">
        <v>0</v>
      </c>
      <c r="C60" s="39">
        <v>9773.8999980000081</v>
      </c>
      <c r="D60" s="39">
        <v>0</v>
      </c>
      <c r="E60" s="39">
        <v>10546.05519900525</v>
      </c>
      <c r="F60" s="39">
        <v>9773.8999980000081</v>
      </c>
      <c r="G60" s="39">
        <v>10546.05519900525</v>
      </c>
    </row>
    <row r="61" spans="1:7" ht="11.25" customHeight="1" x14ac:dyDescent="0.2">
      <c r="A61" s="48" t="s">
        <v>25</v>
      </c>
      <c r="B61" s="39">
        <v>0</v>
      </c>
      <c r="C61" s="39">
        <v>9773.8999980000081</v>
      </c>
      <c r="D61" s="39">
        <v>0</v>
      </c>
      <c r="E61" s="39">
        <v>10546.05519900525</v>
      </c>
      <c r="F61" s="39">
        <v>9773.8999980000081</v>
      </c>
      <c r="G61" s="39">
        <v>10546.05519900525</v>
      </c>
    </row>
    <row r="62" spans="1:7" ht="11.25" customHeight="1" x14ac:dyDescent="0.2">
      <c r="A62" s="49">
        <v>44440</v>
      </c>
      <c r="B62" s="39">
        <v>0</v>
      </c>
      <c r="C62" s="39">
        <v>628.99320000000057</v>
      </c>
      <c r="D62" s="39">
        <v>0</v>
      </c>
      <c r="E62" s="39">
        <v>678.68482707915871</v>
      </c>
      <c r="F62" s="39">
        <v>628.99320000000057</v>
      </c>
      <c r="G62" s="39">
        <v>678.68482707915871</v>
      </c>
    </row>
    <row r="63" spans="1:7" ht="11.25" customHeight="1" x14ac:dyDescent="0.2">
      <c r="A63" s="49">
        <v>44470</v>
      </c>
      <c r="B63" s="39">
        <v>0</v>
      </c>
      <c r="C63" s="39">
        <v>626.18820000000062</v>
      </c>
      <c r="D63" s="39">
        <v>0</v>
      </c>
      <c r="E63" s="39">
        <v>675.65822688704691</v>
      </c>
      <c r="F63" s="39">
        <v>626.18820000000062</v>
      </c>
      <c r="G63" s="39">
        <v>675.65822688704691</v>
      </c>
    </row>
    <row r="64" spans="1:7" ht="11.25" customHeight="1" x14ac:dyDescent="0.2">
      <c r="A64" s="49">
        <v>44501</v>
      </c>
      <c r="B64" s="39">
        <v>0</v>
      </c>
      <c r="C64" s="39">
        <v>577.54950000000053</v>
      </c>
      <c r="D64" s="39">
        <v>0</v>
      </c>
      <c r="E64" s="39">
        <v>623.17697955582753</v>
      </c>
      <c r="F64" s="39">
        <v>577.54950000000053</v>
      </c>
      <c r="G64" s="39">
        <v>623.17697955582753</v>
      </c>
    </row>
    <row r="65" spans="1:7" ht="11.25" customHeight="1" x14ac:dyDescent="0.2">
      <c r="A65" s="49">
        <v>44531</v>
      </c>
      <c r="B65" s="39">
        <v>0</v>
      </c>
      <c r="C65" s="39">
        <v>641.61570000000052</v>
      </c>
      <c r="D65" s="39">
        <v>0</v>
      </c>
      <c r="E65" s="39">
        <v>692.30452794366192</v>
      </c>
      <c r="F65" s="39">
        <v>641.61570000000052</v>
      </c>
      <c r="G65" s="39">
        <v>692.30452794366192</v>
      </c>
    </row>
    <row r="66" spans="1:7" ht="11.25" customHeight="1" x14ac:dyDescent="0.2">
      <c r="A66" s="49">
        <v>44562</v>
      </c>
      <c r="B66" s="39">
        <v>0</v>
      </c>
      <c r="C66" s="39">
        <v>774.90930000000071</v>
      </c>
      <c r="D66" s="39">
        <v>0</v>
      </c>
      <c r="E66" s="39">
        <v>836.12856907281662</v>
      </c>
      <c r="F66" s="39">
        <v>774.90930000000071</v>
      </c>
      <c r="G66" s="39">
        <v>836.12856907281662</v>
      </c>
    </row>
    <row r="67" spans="1:7" ht="11.25" customHeight="1" x14ac:dyDescent="0.2">
      <c r="A67" s="49">
        <v>44593</v>
      </c>
      <c r="B67" s="39">
        <v>0</v>
      </c>
      <c r="C67" s="39">
        <v>817.60140000000069</v>
      </c>
      <c r="D67" s="39">
        <v>0</v>
      </c>
      <c r="E67" s="39">
        <v>882.19342399675872</v>
      </c>
      <c r="F67" s="39">
        <v>817.60140000000069</v>
      </c>
      <c r="G67" s="39">
        <v>882.19342399675872</v>
      </c>
    </row>
    <row r="68" spans="1:7" ht="11.25" customHeight="1" x14ac:dyDescent="0.2">
      <c r="A68" s="49">
        <v>44621</v>
      </c>
      <c r="B68" s="39">
        <v>0</v>
      </c>
      <c r="C68" s="39">
        <v>876.84300000000087</v>
      </c>
      <c r="D68" s="39">
        <v>0</v>
      </c>
      <c r="E68" s="39">
        <v>946.11522005416089</v>
      </c>
      <c r="F68" s="39">
        <v>876.84300000000087</v>
      </c>
      <c r="G68" s="39">
        <v>946.11522005416089</v>
      </c>
    </row>
    <row r="69" spans="1:7" ht="11.25" customHeight="1" x14ac:dyDescent="0.2">
      <c r="A69" s="49">
        <v>44652</v>
      </c>
      <c r="B69" s="39">
        <v>0</v>
      </c>
      <c r="C69" s="39">
        <v>1411.8126000000013</v>
      </c>
      <c r="D69" s="39">
        <v>0</v>
      </c>
      <c r="E69" s="39">
        <v>1523.3484086937308</v>
      </c>
      <c r="F69" s="39">
        <v>1411.8126000000013</v>
      </c>
      <c r="G69" s="39">
        <v>1523.3484086937308</v>
      </c>
    </row>
    <row r="70" spans="1:7" ht="11.25" customHeight="1" x14ac:dyDescent="0.2">
      <c r="A70" s="49">
        <v>44682</v>
      </c>
      <c r="B70" s="39">
        <v>0</v>
      </c>
      <c r="C70" s="39">
        <v>897.47749800000088</v>
      </c>
      <c r="D70" s="39">
        <v>0</v>
      </c>
      <c r="E70" s="39">
        <v>968.37889106733542</v>
      </c>
      <c r="F70" s="39">
        <v>897.47749800000088</v>
      </c>
      <c r="G70" s="39">
        <v>968.37889106733542</v>
      </c>
    </row>
    <row r="71" spans="1:7" ht="11.25" customHeight="1" x14ac:dyDescent="0.2">
      <c r="A71" s="49">
        <v>44713</v>
      </c>
      <c r="B71" s="39">
        <v>0</v>
      </c>
      <c r="C71" s="39">
        <v>954.14880000000085</v>
      </c>
      <c r="D71" s="39">
        <v>0</v>
      </c>
      <c r="E71" s="39">
        <v>1029.528321348763</v>
      </c>
      <c r="F71" s="39">
        <v>954.14880000000085</v>
      </c>
      <c r="G71" s="39">
        <v>1029.528321348763</v>
      </c>
    </row>
    <row r="72" spans="1:7" ht="11.25" customHeight="1" x14ac:dyDescent="0.2">
      <c r="A72" s="49">
        <v>44743</v>
      </c>
      <c r="B72" s="39">
        <v>0</v>
      </c>
      <c r="C72" s="39">
        <v>778.05090000000075</v>
      </c>
      <c r="D72" s="39">
        <v>0</v>
      </c>
      <c r="E72" s="39">
        <v>839.51836128798186</v>
      </c>
      <c r="F72" s="39">
        <v>778.05090000000075</v>
      </c>
      <c r="G72" s="39">
        <v>839.51836128798186</v>
      </c>
    </row>
    <row r="73" spans="1:7" ht="11.25" customHeight="1" x14ac:dyDescent="0.2">
      <c r="A73" s="49">
        <v>44774</v>
      </c>
      <c r="B73" s="39">
        <v>0</v>
      </c>
      <c r="C73" s="39">
        <v>788.70990000000063</v>
      </c>
      <c r="D73" s="39">
        <v>0</v>
      </c>
      <c r="E73" s="39">
        <v>851.01944201800677</v>
      </c>
      <c r="F73" s="39">
        <v>788.70990000000063</v>
      </c>
      <c r="G73" s="39">
        <v>851.01944201800677</v>
      </c>
    </row>
    <row r="74" spans="1:7" ht="11.25" customHeight="1" x14ac:dyDescent="0.2">
      <c r="A74" s="45" t="s">
        <v>32</v>
      </c>
      <c r="B74" s="39">
        <v>0</v>
      </c>
      <c r="C74" s="39">
        <v>0</v>
      </c>
      <c r="D74" s="39">
        <v>0</v>
      </c>
      <c r="E74" s="39">
        <v>-2.0372681319713594E-12</v>
      </c>
      <c r="F74" s="39">
        <v>0</v>
      </c>
      <c r="G74" s="39">
        <v>-2.0372681319713594E-12</v>
      </c>
    </row>
    <row r="75" spans="1:7" ht="11.25" customHeight="1" x14ac:dyDescent="0.2">
      <c r="A75" s="46" t="s">
        <v>25</v>
      </c>
      <c r="B75" s="39">
        <v>0</v>
      </c>
      <c r="C75" s="39">
        <v>0</v>
      </c>
      <c r="D75" s="39">
        <v>0</v>
      </c>
      <c r="E75" s="39">
        <v>-2.0372681319713594E-12</v>
      </c>
      <c r="F75" s="39">
        <v>0</v>
      </c>
      <c r="G75" s="39">
        <v>-2.0372681319713594E-12</v>
      </c>
    </row>
    <row r="76" spans="1:7" ht="11.25" customHeight="1" x14ac:dyDescent="0.2">
      <c r="A76" s="47" t="s">
        <v>25</v>
      </c>
      <c r="B76" s="39">
        <v>0</v>
      </c>
      <c r="C76" s="39">
        <v>0</v>
      </c>
      <c r="D76" s="39">
        <v>0</v>
      </c>
      <c r="E76" s="39">
        <v>-2.0372681319713594E-12</v>
      </c>
      <c r="F76" s="39">
        <v>0</v>
      </c>
      <c r="G76" s="39">
        <v>-2.0372681319713594E-12</v>
      </c>
    </row>
    <row r="77" spans="1:7" ht="11.25" customHeight="1" x14ac:dyDescent="0.2">
      <c r="A77" s="48" t="s">
        <v>25</v>
      </c>
      <c r="B77" s="39">
        <v>0</v>
      </c>
      <c r="C77" s="39">
        <v>0</v>
      </c>
      <c r="D77" s="39">
        <v>0</v>
      </c>
      <c r="E77" s="39">
        <v>-2.0372681319713594E-12</v>
      </c>
      <c r="F77" s="39">
        <v>0</v>
      </c>
      <c r="G77" s="39">
        <v>-2.0372681319713594E-12</v>
      </c>
    </row>
    <row r="78" spans="1:7" ht="11.25" customHeight="1" x14ac:dyDescent="0.2">
      <c r="A78" s="49">
        <v>44440</v>
      </c>
      <c r="B78" s="39">
        <v>0</v>
      </c>
      <c r="C78" s="39">
        <v>0</v>
      </c>
      <c r="D78" s="39">
        <v>0</v>
      </c>
      <c r="E78" s="39">
        <v>-7.8784978541079903E-14</v>
      </c>
      <c r="F78" s="39">
        <v>0</v>
      </c>
      <c r="G78" s="39">
        <v>-7.8784978541079903E-14</v>
      </c>
    </row>
    <row r="79" spans="1:7" ht="11.25" customHeight="1" x14ac:dyDescent="0.2">
      <c r="A79" s="49">
        <v>44470</v>
      </c>
      <c r="B79" s="39">
        <v>0</v>
      </c>
      <c r="C79" s="39">
        <v>0</v>
      </c>
      <c r="D79" s="39">
        <v>0</v>
      </c>
      <c r="E79" s="39">
        <v>-8.5009332906338389E-14</v>
      </c>
      <c r="F79" s="39">
        <v>0</v>
      </c>
      <c r="G79" s="39">
        <v>-8.5009332906338389E-14</v>
      </c>
    </row>
    <row r="80" spans="1:7" ht="11.25" customHeight="1" x14ac:dyDescent="0.2">
      <c r="A80" s="49">
        <v>44501</v>
      </c>
      <c r="B80" s="39">
        <v>0</v>
      </c>
      <c r="C80" s="39">
        <v>0</v>
      </c>
      <c r="D80" s="39">
        <v>0</v>
      </c>
      <c r="E80" s="39">
        <v>-7.3384853749303143E-14</v>
      </c>
      <c r="F80" s="39">
        <v>0</v>
      </c>
      <c r="G80" s="39">
        <v>-7.3384853749303143E-14</v>
      </c>
    </row>
    <row r="81" spans="1:7" ht="11.25" customHeight="1" x14ac:dyDescent="0.2">
      <c r="A81" s="49">
        <v>44531</v>
      </c>
      <c r="B81" s="39">
        <v>0</v>
      </c>
      <c r="C81" s="39">
        <v>0</v>
      </c>
      <c r="D81" s="39">
        <v>0</v>
      </c>
      <c r="E81" s="39">
        <v>-7.1224803832592436E-14</v>
      </c>
      <c r="F81" s="39">
        <v>0</v>
      </c>
      <c r="G81" s="39">
        <v>-7.1224803832592436E-14</v>
      </c>
    </row>
    <row r="82" spans="1:7" ht="11.25" customHeight="1" x14ac:dyDescent="0.2">
      <c r="A82" s="49">
        <v>44562</v>
      </c>
      <c r="B82" s="39">
        <v>0</v>
      </c>
      <c r="C82" s="39">
        <v>0</v>
      </c>
      <c r="D82" s="39">
        <v>0</v>
      </c>
      <c r="E82" s="39">
        <v>-1.4927081792848184E-13</v>
      </c>
      <c r="F82" s="39">
        <v>0</v>
      </c>
      <c r="G82" s="39">
        <v>-1.4927081792848184E-13</v>
      </c>
    </row>
    <row r="83" spans="1:7" ht="11.25" customHeight="1" x14ac:dyDescent="0.2">
      <c r="A83" s="49">
        <v>44593</v>
      </c>
      <c r="B83" s="39">
        <v>0</v>
      </c>
      <c r="C83" s="39">
        <v>0</v>
      </c>
      <c r="D83" s="39">
        <v>0</v>
      </c>
      <c r="E83" s="39">
        <v>-2.2001245270075741E-13</v>
      </c>
      <c r="F83" s="39">
        <v>0</v>
      </c>
      <c r="G83" s="39">
        <v>-2.2001245270075741E-13</v>
      </c>
    </row>
    <row r="84" spans="1:7" ht="11.25" customHeight="1" x14ac:dyDescent="0.2">
      <c r="A84" s="49">
        <v>44621</v>
      </c>
      <c r="B84" s="39">
        <v>0</v>
      </c>
      <c r="C84" s="39">
        <v>0</v>
      </c>
      <c r="D84" s="39">
        <v>0</v>
      </c>
      <c r="E84" s="39">
        <v>-2.3453594621969389E-13</v>
      </c>
      <c r="F84" s="39">
        <v>0</v>
      </c>
      <c r="G84" s="39">
        <v>-2.3453594621969389E-13</v>
      </c>
    </row>
    <row r="85" spans="1:7" ht="11.25" customHeight="1" x14ac:dyDescent="0.2">
      <c r="A85" s="49">
        <v>44652</v>
      </c>
      <c r="B85" s="39">
        <v>0</v>
      </c>
      <c r="C85" s="39">
        <v>0</v>
      </c>
      <c r="D85" s="39">
        <v>0</v>
      </c>
      <c r="E85" s="39">
        <v>-3.3199398785654919E-13</v>
      </c>
      <c r="F85" s="39">
        <v>0</v>
      </c>
      <c r="G85" s="39">
        <v>-3.3199398785654919E-13</v>
      </c>
    </row>
    <row r="86" spans="1:7" ht="11.25" customHeight="1" x14ac:dyDescent="0.2">
      <c r="A86" s="49">
        <v>44682</v>
      </c>
      <c r="B86" s="39">
        <v>0</v>
      </c>
      <c r="C86" s="39">
        <v>0</v>
      </c>
      <c r="D86" s="39">
        <v>0</v>
      </c>
      <c r="E86" s="39">
        <v>-2.1401547201094218E-13</v>
      </c>
      <c r="F86" s="39">
        <v>0</v>
      </c>
      <c r="G86" s="39">
        <v>-2.1401547201094218E-13</v>
      </c>
    </row>
    <row r="87" spans="1:7" ht="11.25" customHeight="1" x14ac:dyDescent="0.2">
      <c r="A87" s="49">
        <v>44713</v>
      </c>
      <c r="B87" s="39">
        <v>0</v>
      </c>
      <c r="C87" s="39">
        <v>0</v>
      </c>
      <c r="D87" s="39">
        <v>0</v>
      </c>
      <c r="E87" s="39">
        <v>-2.5065105546673297E-13</v>
      </c>
      <c r="F87" s="39">
        <v>0</v>
      </c>
      <c r="G87" s="39">
        <v>-2.5065105546673297E-13</v>
      </c>
    </row>
    <row r="88" spans="1:7" ht="11.25" customHeight="1" x14ac:dyDescent="0.2">
      <c r="A88" s="49">
        <v>44743</v>
      </c>
      <c r="B88" s="39">
        <v>0</v>
      </c>
      <c r="C88" s="39">
        <v>0</v>
      </c>
      <c r="D88" s="39">
        <v>0</v>
      </c>
      <c r="E88" s="39">
        <v>-1.4344436749524902E-13</v>
      </c>
      <c r="F88" s="39">
        <v>0</v>
      </c>
      <c r="G88" s="39">
        <v>-1.4344436749524902E-13</v>
      </c>
    </row>
    <row r="89" spans="1:7" ht="11.25" customHeight="1" x14ac:dyDescent="0.2">
      <c r="A89" s="49">
        <v>44774</v>
      </c>
      <c r="B89" s="39">
        <v>0</v>
      </c>
      <c r="C89" s="39">
        <v>0</v>
      </c>
      <c r="D89" s="39">
        <v>0</v>
      </c>
      <c r="E89" s="39">
        <v>-1.8494006326363887E-13</v>
      </c>
      <c r="F89" s="39">
        <v>0</v>
      </c>
      <c r="G89" s="39">
        <v>-1.8494006326363887E-13</v>
      </c>
    </row>
    <row r="90" spans="1:7" ht="11.25" customHeight="1" x14ac:dyDescent="0.2">
      <c r="A90" s="41" t="s">
        <v>697</v>
      </c>
      <c r="B90" s="39">
        <v>0</v>
      </c>
      <c r="C90" s="39">
        <v>1463586.922000001</v>
      </c>
      <c r="D90" s="39">
        <v>0</v>
      </c>
      <c r="E90" s="39">
        <v>828351.81740988314</v>
      </c>
      <c r="F90" s="39">
        <v>1463586.922000001</v>
      </c>
      <c r="G90" s="39">
        <v>828351.81740988325</v>
      </c>
    </row>
    <row r="91" spans="1:7" ht="11.25" customHeight="1" x14ac:dyDescent="0.2">
      <c r="A91" s="42" t="s">
        <v>43</v>
      </c>
      <c r="B91" s="39">
        <v>0</v>
      </c>
      <c r="C91" s="39">
        <v>1463586.922000001</v>
      </c>
      <c r="D91" s="39">
        <v>0</v>
      </c>
      <c r="E91" s="39">
        <v>828351.81740988314</v>
      </c>
      <c r="F91" s="39">
        <v>1463586.922000001</v>
      </c>
      <c r="G91" s="39">
        <v>828351.81740988325</v>
      </c>
    </row>
    <row r="92" spans="1:7" ht="11.25" customHeight="1" x14ac:dyDescent="0.2">
      <c r="A92" s="43" t="s">
        <v>23</v>
      </c>
      <c r="B92" s="39">
        <v>0</v>
      </c>
      <c r="C92" s="39">
        <v>1463586.922000001</v>
      </c>
      <c r="D92" s="39">
        <v>0</v>
      </c>
      <c r="E92" s="39">
        <v>828351.81740988314</v>
      </c>
      <c r="F92" s="39">
        <v>1463586.922000001</v>
      </c>
      <c r="G92" s="39">
        <v>828351.81740988325</v>
      </c>
    </row>
    <row r="93" spans="1:7" ht="11.25" customHeight="1" x14ac:dyDescent="0.2">
      <c r="A93" s="44" t="s">
        <v>44</v>
      </c>
      <c r="B93" s="39">
        <v>0</v>
      </c>
      <c r="C93" s="39">
        <v>1463586.922000001</v>
      </c>
      <c r="D93" s="39">
        <v>0</v>
      </c>
      <c r="E93" s="39">
        <v>828351.81740988314</v>
      </c>
      <c r="F93" s="39">
        <v>1463586.922000001</v>
      </c>
      <c r="G93" s="39">
        <v>828351.81740988325</v>
      </c>
    </row>
    <row r="94" spans="1:7" ht="11.25" customHeight="1" x14ac:dyDescent="0.2">
      <c r="A94" s="45" t="s">
        <v>25</v>
      </c>
      <c r="B94" s="39">
        <v>0</v>
      </c>
      <c r="C94" s="39">
        <v>1463586.922000001</v>
      </c>
      <c r="D94" s="39">
        <v>0</v>
      </c>
      <c r="E94" s="39">
        <v>828351.81740988314</v>
      </c>
      <c r="F94" s="39">
        <v>1463586.922000001</v>
      </c>
      <c r="G94" s="39">
        <v>828351.81740988325</v>
      </c>
    </row>
    <row r="95" spans="1:7" ht="11.25" customHeight="1" x14ac:dyDescent="0.2">
      <c r="A95" s="46" t="s">
        <v>25</v>
      </c>
      <c r="B95" s="39">
        <v>0</v>
      </c>
      <c r="C95" s="39">
        <v>1463586.922000001</v>
      </c>
      <c r="D95" s="39">
        <v>0</v>
      </c>
      <c r="E95" s="39">
        <v>828351.81740988314</v>
      </c>
      <c r="F95" s="39">
        <v>1463586.922000001</v>
      </c>
      <c r="G95" s="39">
        <v>828351.81740988325</v>
      </c>
    </row>
    <row r="96" spans="1:7" ht="11.25" customHeight="1" x14ac:dyDescent="0.2">
      <c r="A96" s="47" t="s">
        <v>25</v>
      </c>
      <c r="B96" s="39">
        <v>0</v>
      </c>
      <c r="C96" s="39">
        <v>1463586.922000001</v>
      </c>
      <c r="D96" s="39">
        <v>0</v>
      </c>
      <c r="E96" s="39">
        <v>828351.81740988314</v>
      </c>
      <c r="F96" s="39">
        <v>1463586.922000001</v>
      </c>
      <c r="G96" s="39">
        <v>828351.81740988325</v>
      </c>
    </row>
    <row r="97" spans="1:7" ht="11.25" customHeight="1" x14ac:dyDescent="0.2">
      <c r="A97" s="48" t="s">
        <v>25</v>
      </c>
      <c r="B97" s="39">
        <v>0</v>
      </c>
      <c r="C97" s="39">
        <v>1463586.922000001</v>
      </c>
      <c r="D97" s="39">
        <v>0</v>
      </c>
      <c r="E97" s="39">
        <v>828351.81740988314</v>
      </c>
      <c r="F97" s="39">
        <v>1463586.922000001</v>
      </c>
      <c r="G97" s="39">
        <v>828351.81740988325</v>
      </c>
    </row>
    <row r="98" spans="1:7" ht="11.25" customHeight="1" x14ac:dyDescent="0.2">
      <c r="A98" s="49">
        <v>44440</v>
      </c>
      <c r="B98" s="39">
        <v>0</v>
      </c>
      <c r="C98" s="39">
        <v>108140.75048000009</v>
      </c>
      <c r="D98" s="39">
        <v>0</v>
      </c>
      <c r="E98" s="39">
        <v>61204.828937503102</v>
      </c>
      <c r="F98" s="39">
        <v>108140.75048000009</v>
      </c>
      <c r="G98" s="39">
        <v>61204.828937503102</v>
      </c>
    </row>
    <row r="99" spans="1:7" ht="11.25" customHeight="1" x14ac:dyDescent="0.2">
      <c r="A99" s="49">
        <v>44470</v>
      </c>
      <c r="B99" s="39">
        <v>0</v>
      </c>
      <c r="C99" s="39">
        <v>112807.09168000007</v>
      </c>
      <c r="D99" s="39">
        <v>0</v>
      </c>
      <c r="E99" s="39">
        <v>63845.855688679963</v>
      </c>
      <c r="F99" s="39">
        <v>112807.09168000007</v>
      </c>
      <c r="G99" s="39">
        <v>63845.855688679963</v>
      </c>
    </row>
    <row r="100" spans="1:7" ht="11.25" customHeight="1" x14ac:dyDescent="0.2">
      <c r="A100" s="49">
        <v>44501</v>
      </c>
      <c r="B100" s="39">
        <v>0</v>
      </c>
      <c r="C100" s="39">
        <v>121085.34920000007</v>
      </c>
      <c r="D100" s="39">
        <v>0</v>
      </c>
      <c r="E100" s="39">
        <v>68531.13235971531</v>
      </c>
      <c r="F100" s="39">
        <v>121085.34920000007</v>
      </c>
      <c r="G100" s="39">
        <v>68531.13235971531</v>
      </c>
    </row>
    <row r="101" spans="1:7" ht="11.25" customHeight="1" x14ac:dyDescent="0.2">
      <c r="A101" s="49">
        <v>44531</v>
      </c>
      <c r="B101" s="39">
        <v>0</v>
      </c>
      <c r="C101" s="39">
        <v>133424.61736000012</v>
      </c>
      <c r="D101" s="39">
        <v>0</v>
      </c>
      <c r="E101" s="39">
        <v>75514.83455888262</v>
      </c>
      <c r="F101" s="39">
        <v>133424.61736000012</v>
      </c>
      <c r="G101" s="39">
        <v>75514.83455888262</v>
      </c>
    </row>
    <row r="102" spans="1:7" ht="11.25" customHeight="1" x14ac:dyDescent="0.2">
      <c r="A102" s="49">
        <v>44562</v>
      </c>
      <c r="B102" s="39">
        <v>0</v>
      </c>
      <c r="C102" s="39">
        <v>171259.66336000012</v>
      </c>
      <c r="D102" s="39">
        <v>0</v>
      </c>
      <c r="E102" s="39">
        <v>96928.478425732188</v>
      </c>
      <c r="F102" s="39">
        <v>171259.66336000012</v>
      </c>
      <c r="G102" s="39">
        <v>96928.478425732188</v>
      </c>
    </row>
    <row r="103" spans="1:7" ht="11.25" customHeight="1" x14ac:dyDescent="0.2">
      <c r="A103" s="49">
        <v>44593</v>
      </c>
      <c r="B103" s="39">
        <v>0</v>
      </c>
      <c r="C103" s="39">
        <v>164126.2078400001</v>
      </c>
      <c r="D103" s="39">
        <v>0</v>
      </c>
      <c r="E103" s="39">
        <v>92891.129665926463</v>
      </c>
      <c r="F103" s="39">
        <v>164126.2078400001</v>
      </c>
      <c r="G103" s="39">
        <v>92891.129665926463</v>
      </c>
    </row>
    <row r="104" spans="1:7" ht="11.25" customHeight="1" x14ac:dyDescent="0.2">
      <c r="A104" s="49">
        <v>44621</v>
      </c>
      <c r="B104" s="39">
        <v>0</v>
      </c>
      <c r="C104" s="39">
        <v>129636.8504000001</v>
      </c>
      <c r="D104" s="39">
        <v>0</v>
      </c>
      <c r="E104" s="39">
        <v>73371.057788211852</v>
      </c>
      <c r="F104" s="39">
        <v>129636.8504000001</v>
      </c>
      <c r="G104" s="39">
        <v>73371.057788211852</v>
      </c>
    </row>
    <row r="105" spans="1:7" ht="11.25" customHeight="1" x14ac:dyDescent="0.2">
      <c r="A105" s="49">
        <v>44652</v>
      </c>
      <c r="B105" s="39">
        <v>0</v>
      </c>
      <c r="C105" s="39">
        <v>113437.31744000009</v>
      </c>
      <c r="D105" s="39">
        <v>0</v>
      </c>
      <c r="E105" s="39">
        <v>64202.546942084402</v>
      </c>
      <c r="F105" s="39">
        <v>113437.31744000009</v>
      </c>
      <c r="G105" s="39">
        <v>64202.546942084402</v>
      </c>
    </row>
    <row r="106" spans="1:7" ht="11.25" customHeight="1" x14ac:dyDescent="0.2">
      <c r="A106" s="49">
        <v>44682</v>
      </c>
      <c r="B106" s="39">
        <v>0</v>
      </c>
      <c r="C106" s="39">
        <v>106292.69680000006</v>
      </c>
      <c r="D106" s="39">
        <v>0</v>
      </c>
      <c r="E106" s="39">
        <v>60158.879017147752</v>
      </c>
      <c r="F106" s="39">
        <v>106292.69680000006</v>
      </c>
      <c r="G106" s="39">
        <v>60158.879017147752</v>
      </c>
    </row>
    <row r="107" spans="1:7" ht="11.25" customHeight="1" x14ac:dyDescent="0.2">
      <c r="A107" s="49">
        <v>44713</v>
      </c>
      <c r="B107" s="39">
        <v>0</v>
      </c>
      <c r="C107" s="39">
        <v>103074.04920000008</v>
      </c>
      <c r="D107" s="39">
        <v>0</v>
      </c>
      <c r="E107" s="39">
        <v>58337.208879908059</v>
      </c>
      <c r="F107" s="39">
        <v>103074.04920000008</v>
      </c>
      <c r="G107" s="39">
        <v>58337.208879908059</v>
      </c>
    </row>
    <row r="108" spans="1:7" ht="11.25" customHeight="1" x14ac:dyDescent="0.2">
      <c r="A108" s="49">
        <v>44743</v>
      </c>
      <c r="B108" s="39">
        <v>0</v>
      </c>
      <c r="C108" s="39">
        <v>94500.368640000073</v>
      </c>
      <c r="D108" s="39">
        <v>0</v>
      </c>
      <c r="E108" s="39">
        <v>53484.730515273033</v>
      </c>
      <c r="F108" s="39">
        <v>94500.368640000073</v>
      </c>
      <c r="G108" s="39">
        <v>53484.730515273033</v>
      </c>
    </row>
    <row r="109" spans="1:7" ht="11.25" customHeight="1" x14ac:dyDescent="0.2">
      <c r="A109" s="49">
        <v>44774</v>
      </c>
      <c r="B109" s="39">
        <v>0</v>
      </c>
      <c r="C109" s="39">
        <v>105801.95960000007</v>
      </c>
      <c r="D109" s="39">
        <v>0</v>
      </c>
      <c r="E109" s="39">
        <v>59881.134630818349</v>
      </c>
      <c r="F109" s="39">
        <v>105801.95960000007</v>
      </c>
      <c r="G109" s="39">
        <v>59881.134630818349</v>
      </c>
    </row>
    <row r="110" spans="1:7" ht="11.25" customHeight="1" x14ac:dyDescent="0.2">
      <c r="A110" s="41" t="s">
        <v>706</v>
      </c>
      <c r="B110" s="39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</row>
    <row r="111" spans="1:7" ht="11.25" customHeight="1" x14ac:dyDescent="0.2">
      <c r="A111" s="42" t="s">
        <v>22</v>
      </c>
      <c r="B111" s="39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</row>
    <row r="112" spans="1:7" ht="11.25" customHeight="1" x14ac:dyDescent="0.2">
      <c r="A112" s="43" t="s">
        <v>23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</row>
    <row r="113" spans="1:7" ht="11.25" customHeight="1" x14ac:dyDescent="0.2">
      <c r="A113" s="44" t="s">
        <v>24</v>
      </c>
      <c r="B113" s="39">
        <v>0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</row>
    <row r="114" spans="1:7" ht="11.25" customHeight="1" x14ac:dyDescent="0.2">
      <c r="A114" s="45" t="s">
        <v>24</v>
      </c>
      <c r="B114" s="39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</row>
    <row r="115" spans="1:7" ht="11.25" customHeight="1" x14ac:dyDescent="0.2">
      <c r="A115" s="46" t="s">
        <v>25</v>
      </c>
      <c r="B115" s="39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</row>
    <row r="116" spans="1:7" ht="11.25" customHeight="1" x14ac:dyDescent="0.2">
      <c r="A116" s="47" t="s">
        <v>25</v>
      </c>
      <c r="B116" s="39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</row>
    <row r="117" spans="1:7" ht="11.25" customHeight="1" x14ac:dyDescent="0.2">
      <c r="A117" s="48" t="s">
        <v>25</v>
      </c>
      <c r="B117" s="39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</row>
    <row r="118" spans="1:7" ht="11.25" customHeight="1" x14ac:dyDescent="0.2">
      <c r="A118" s="49">
        <v>44440</v>
      </c>
      <c r="B118" s="39">
        <v>0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E17F-F24D-48F6-A9DB-8326151364B7}">
  <dimension ref="A1:V35"/>
  <sheetViews>
    <sheetView showGridLines="0" workbookViewId="0">
      <selection sqref="A1:J1"/>
    </sheetView>
  </sheetViews>
  <sheetFormatPr defaultRowHeight="11.25" customHeight="1" x14ac:dyDescent="0.3"/>
  <cols>
    <col min="1" max="1" width="9" style="8" bestFit="1" customWidth="1"/>
    <col min="2" max="2" width="10.33203125" style="8" bestFit="1" customWidth="1"/>
    <col min="3" max="3" width="9.5546875" style="8" bestFit="1" customWidth="1"/>
    <col min="4" max="4" width="5.88671875" style="8" bestFit="1" customWidth="1"/>
    <col min="5" max="10" width="7.77734375" style="8" customWidth="1"/>
    <col min="11" max="12" width="8.88671875" style="8"/>
    <col min="13" max="13" width="14.33203125" style="8" customWidth="1"/>
    <col min="14" max="14" width="16.77734375" style="8" customWidth="1"/>
    <col min="15" max="15" width="31.77734375" style="8" customWidth="1"/>
    <col min="16" max="22" width="7.77734375" style="8" customWidth="1"/>
    <col min="23" max="16384" width="8.88671875" style="8"/>
  </cols>
  <sheetData>
    <row r="1" spans="1:22" ht="11.25" customHeight="1" x14ac:dyDescent="0.3">
      <c r="A1" s="84" t="s">
        <v>776</v>
      </c>
      <c r="B1" s="105"/>
      <c r="C1" s="105"/>
      <c r="D1" s="105"/>
      <c r="E1" s="105"/>
      <c r="F1" s="105"/>
      <c r="G1" s="105"/>
      <c r="H1" s="105"/>
      <c r="I1" s="105"/>
      <c r="J1" s="105"/>
      <c r="L1" s="84" t="s">
        <v>786</v>
      </c>
      <c r="M1" s="85"/>
      <c r="N1" s="85"/>
      <c r="O1" s="85"/>
      <c r="P1" s="85"/>
      <c r="Q1" s="85"/>
      <c r="R1" s="85"/>
      <c r="S1" s="85"/>
      <c r="T1" s="85"/>
      <c r="U1" s="85"/>
      <c r="V1" s="85"/>
    </row>
    <row r="2" spans="1:22" ht="11.25" customHeight="1" x14ac:dyDescent="0.3">
      <c r="A2" s="100" t="s">
        <v>60</v>
      </c>
      <c r="B2" s="100" t="s">
        <v>61</v>
      </c>
      <c r="C2" s="100" t="s">
        <v>777</v>
      </c>
      <c r="D2" s="100" t="s">
        <v>66</v>
      </c>
      <c r="E2" s="100" t="s">
        <v>778</v>
      </c>
      <c r="F2" s="104"/>
      <c r="G2" s="104"/>
      <c r="H2" s="100" t="s">
        <v>541</v>
      </c>
      <c r="I2" s="104"/>
      <c r="J2" s="104"/>
      <c r="L2" s="100" t="s">
        <v>60</v>
      </c>
      <c r="M2" s="100" t="s">
        <v>61</v>
      </c>
      <c r="N2" s="100" t="s">
        <v>62</v>
      </c>
      <c r="O2" s="100" t="s">
        <v>63</v>
      </c>
      <c r="P2" s="100" t="s">
        <v>66</v>
      </c>
      <c r="Q2" s="100" t="s">
        <v>778</v>
      </c>
      <c r="R2" s="106"/>
      <c r="S2" s="106"/>
      <c r="T2" s="100" t="s">
        <v>541</v>
      </c>
      <c r="U2" s="106"/>
      <c r="V2" s="106"/>
    </row>
    <row r="3" spans="1:22" ht="11.25" customHeight="1" x14ac:dyDescent="0.3">
      <c r="A3" s="104"/>
      <c r="B3" s="104"/>
      <c r="C3" s="104"/>
      <c r="D3" s="104"/>
      <c r="E3" s="100" t="s">
        <v>499</v>
      </c>
      <c r="F3" s="104"/>
      <c r="G3" s="30" t="s">
        <v>527</v>
      </c>
      <c r="H3" s="100" t="s">
        <v>499</v>
      </c>
      <c r="I3" s="104"/>
      <c r="J3" s="30" t="s">
        <v>527</v>
      </c>
      <c r="L3" s="106"/>
      <c r="M3" s="106"/>
      <c r="N3" s="106"/>
      <c r="O3" s="106"/>
      <c r="P3" s="106"/>
      <c r="Q3" s="100" t="s">
        <v>499</v>
      </c>
      <c r="R3" s="106"/>
      <c r="S3" s="30" t="s">
        <v>527</v>
      </c>
      <c r="T3" s="100" t="s">
        <v>499</v>
      </c>
      <c r="U3" s="106"/>
      <c r="V3" s="30" t="s">
        <v>527</v>
      </c>
    </row>
    <row r="4" spans="1:22" ht="11.25" customHeight="1" x14ac:dyDescent="0.3">
      <c r="A4" s="104"/>
      <c r="B4" s="104"/>
      <c r="C4" s="104"/>
      <c r="D4" s="104"/>
      <c r="E4" s="30" t="s">
        <v>779</v>
      </c>
      <c r="F4" s="30" t="s">
        <v>780</v>
      </c>
      <c r="G4" s="30" t="s">
        <v>780</v>
      </c>
      <c r="H4" s="30" t="s">
        <v>779</v>
      </c>
      <c r="I4" s="30" t="s">
        <v>780</v>
      </c>
      <c r="J4" s="30" t="s">
        <v>780</v>
      </c>
      <c r="L4" s="106"/>
      <c r="M4" s="106"/>
      <c r="N4" s="106"/>
      <c r="O4" s="106"/>
      <c r="P4" s="106"/>
      <c r="Q4" s="30" t="s">
        <v>779</v>
      </c>
      <c r="R4" s="30" t="s">
        <v>780</v>
      </c>
      <c r="S4" s="30" t="s">
        <v>780</v>
      </c>
      <c r="T4" s="30" t="s">
        <v>779</v>
      </c>
      <c r="U4" s="30" t="s">
        <v>780</v>
      </c>
      <c r="V4" s="30" t="s">
        <v>780</v>
      </c>
    </row>
    <row r="5" spans="1:22" ht="11.25" customHeight="1" x14ac:dyDescent="0.3">
      <c r="A5" s="103" t="s">
        <v>37</v>
      </c>
      <c r="B5" s="103" t="s">
        <v>41</v>
      </c>
      <c r="C5" s="103" t="s">
        <v>25</v>
      </c>
      <c r="D5" s="31" t="s">
        <v>781</v>
      </c>
      <c r="E5" s="29">
        <f ca="1">ROUND('TUSD BE'!$AM$5+'TUSD BF'!$AM$5+'TUSD CVA'!$AM$5,2)</f>
        <v>99.83</v>
      </c>
      <c r="F5" s="29">
        <f ca="1">ROUND('TUSD BE'!$AM$7+'TUSD BF'!$AM$7+'TUSD CVA'!$AM$7,2)</f>
        <v>104.33</v>
      </c>
      <c r="G5" s="29">
        <f>ROUND('TE BE'!$AB$5+'TE BF'!$AB$5+'TE CVA'!$AB$5,2)</f>
        <v>166.76</v>
      </c>
      <c r="H5" s="29">
        <f ca="1">ROUND('TUSD BE'!$AM$5,2)</f>
        <v>203.98</v>
      </c>
      <c r="I5" s="29">
        <f ca="1">ROUND('TUSD BE'!$AM$7,2)</f>
        <v>105.34</v>
      </c>
      <c r="J5" s="29">
        <f>ROUND('TE BE'!$AB$5,2)</f>
        <v>169.46</v>
      </c>
      <c r="L5" s="107" t="s">
        <v>22</v>
      </c>
      <c r="M5" s="107" t="s">
        <v>787</v>
      </c>
      <c r="N5" s="107" t="s">
        <v>788</v>
      </c>
      <c r="O5" s="107" t="s">
        <v>788</v>
      </c>
      <c r="P5" s="31" t="s">
        <v>781</v>
      </c>
      <c r="Q5" s="29">
        <v>0</v>
      </c>
      <c r="R5" s="29">
        <f ca="1">ROUND('TUSD BE'!$AM$17+'TUSD BF'!$AM$17+'TUSD CVA'!$AM$17,2)</f>
        <v>1166.01</v>
      </c>
      <c r="S5" s="29">
        <f>ROUND('TE BE'!$AB$8+'TE BF'!$AB$8+'TE CVA'!$AB$8,2)</f>
        <v>166.76</v>
      </c>
      <c r="T5" s="29">
        <v>0</v>
      </c>
      <c r="U5" s="29">
        <f ca="1">ROUND('TUSD BE'!$AM$17,2)</f>
        <v>2317.2399999999998</v>
      </c>
      <c r="V5" s="29">
        <f>ROUND('TE BE'!$AB$8,2)</f>
        <v>169.46</v>
      </c>
    </row>
    <row r="6" spans="1:22" ht="11.25" customHeight="1" x14ac:dyDescent="0.3">
      <c r="A6" s="104"/>
      <c r="B6" s="104"/>
      <c r="C6" s="104"/>
      <c r="D6" s="31" t="s">
        <v>782</v>
      </c>
      <c r="E6" s="29">
        <f ca="1">ROUND('TUSD BE'!$AM$6+'TUSD BF'!$AM$6+'TUSD CVA'!$AM$6,2)</f>
        <v>32.76</v>
      </c>
      <c r="F6" s="29">
        <f ca="1">ROUND('TUSD BE'!$AM$7+'TUSD BF'!$AM$7+'TUSD CVA'!$AM$7,2)</f>
        <v>104.33</v>
      </c>
      <c r="G6" s="29">
        <f>ROUND('TE BE'!$AB$6+'TE BF'!$AB$6+'TE CVA'!$AB$6,2)</f>
        <v>166.76</v>
      </c>
      <c r="H6" s="29">
        <f ca="1">ROUND('TUSD BE'!$AM$6,2)</f>
        <v>62.91</v>
      </c>
      <c r="I6" s="29">
        <f ca="1">ROUND('TUSD BE'!$AM$7,2)</f>
        <v>105.34</v>
      </c>
      <c r="J6" s="29">
        <f>ROUND('TE BE'!$AB$6,2)</f>
        <v>169.46</v>
      </c>
      <c r="L6" s="108"/>
      <c r="M6" s="108"/>
      <c r="N6" s="108"/>
      <c r="O6" s="108"/>
      <c r="P6" s="31" t="s">
        <v>789</v>
      </c>
      <c r="Q6" s="29">
        <v>0</v>
      </c>
      <c r="R6" s="29">
        <f ca="1">ROUND('TUSD BE'!$AM$18+'TUSD BF'!$AM$18+'TUSD CVA'!$AM$18,2)</f>
        <v>755.17</v>
      </c>
      <c r="S6" s="29">
        <f>ROUND('TE BE'!$AB$9+'TE BF'!$AB$9+'TE CVA'!$AB$9,2)</f>
        <v>166.76</v>
      </c>
      <c r="T6" s="29">
        <v>0</v>
      </c>
      <c r="U6" s="29">
        <f ca="1">ROUND('TUSD BE'!$AM$18,2)</f>
        <v>1446.49</v>
      </c>
      <c r="V6" s="29">
        <f>ROUND('TE BE'!$AB$9,2)</f>
        <v>169.46</v>
      </c>
    </row>
    <row r="7" spans="1:22" ht="11.25" customHeight="1" x14ac:dyDescent="0.3">
      <c r="A7" s="104"/>
      <c r="B7" s="103" t="s">
        <v>783</v>
      </c>
      <c r="C7" s="103" t="s">
        <v>25</v>
      </c>
      <c r="D7" s="31" t="s">
        <v>781</v>
      </c>
      <c r="E7" s="29">
        <f ca="1">ROUND('TUSD BE'!$AM$5+'TUSD BF'!$AM$5+'TUSD CVA'!$AM$5,2)</f>
        <v>99.83</v>
      </c>
      <c r="F7" s="29">
        <f ca="1">ROUND('TUSD BE'!$AM$8+'TUSD BF'!$AM$8+'TUSD CVA'!$AM$8,2)</f>
        <v>12.72</v>
      </c>
      <c r="G7" s="29">
        <v>0</v>
      </c>
      <c r="H7" s="29">
        <f ca="1">ROUND('TUSD BE'!$AM$5,2)</f>
        <v>203.98</v>
      </c>
      <c r="I7" s="29">
        <f ca="1">ROUND('TUSD BE'!$AM$8,2)</f>
        <v>12.92</v>
      </c>
      <c r="J7" s="29">
        <v>0</v>
      </c>
      <c r="L7" s="108"/>
      <c r="M7" s="109"/>
      <c r="N7" s="109"/>
      <c r="O7" s="109"/>
      <c r="P7" s="31" t="s">
        <v>782</v>
      </c>
      <c r="Q7" s="29">
        <v>0</v>
      </c>
      <c r="R7" s="29">
        <f ca="1">ROUND('TUSD BE'!$AM$19+'TUSD BF'!$AM$19+'TUSD CVA'!$AM$19,2)</f>
        <v>344.39</v>
      </c>
      <c r="S7" s="29">
        <f>ROUND('TE BE'!$AB$10+'TE BF'!$AB$10+'TE CVA'!$AB$10,2)</f>
        <v>166.76</v>
      </c>
      <c r="T7" s="29">
        <v>0</v>
      </c>
      <c r="U7" s="29">
        <f ca="1">ROUND('TUSD BE'!$AM$19,2)</f>
        <v>575.82000000000005</v>
      </c>
      <c r="V7" s="29">
        <f>ROUND('TE BE'!$AB$10,2)</f>
        <v>169.46</v>
      </c>
    </row>
    <row r="8" spans="1:22" ht="11.25" customHeight="1" x14ac:dyDescent="0.3">
      <c r="A8" s="104"/>
      <c r="B8" s="104"/>
      <c r="C8" s="104"/>
      <c r="D8" s="31" t="s">
        <v>782</v>
      </c>
      <c r="E8" s="29">
        <f ca="1">ROUND('TUSD BE'!$AM$6+'TUSD BF'!$AM$6+'TUSD CVA'!$AM$6,2)</f>
        <v>32.76</v>
      </c>
      <c r="F8" s="29">
        <f ca="1">ROUND('TUSD BE'!$AM$8+'TUSD BF'!$AM$8+'TUSD CVA'!$AM$8,2)</f>
        <v>12.72</v>
      </c>
      <c r="G8" s="29">
        <v>0</v>
      </c>
      <c r="H8" s="29">
        <f ca="1">ROUND('TUSD BE'!$AM$6,2)</f>
        <v>62.91</v>
      </c>
      <c r="I8" s="29">
        <f ca="1">ROUND('TUSD BE'!$AM$8,2)</f>
        <v>12.92</v>
      </c>
      <c r="J8" s="29">
        <v>0</v>
      </c>
      <c r="L8" s="108"/>
      <c r="M8" s="31" t="s">
        <v>790</v>
      </c>
      <c r="N8" s="31" t="s">
        <v>788</v>
      </c>
      <c r="O8" s="31" t="s">
        <v>788</v>
      </c>
      <c r="P8" s="31" t="s">
        <v>784</v>
      </c>
      <c r="Q8" s="29">
        <v>0</v>
      </c>
      <c r="R8" s="29">
        <f ca="1">ROUND('TUSD BE'!$AM$25+'TUSD BF'!$AM$25+'TUSD CVA'!$AM$25,2)</f>
        <v>519.26</v>
      </c>
      <c r="S8" s="29">
        <f>ROUND('TE BE'!$AB$16+'TE BF'!$AB$16+'TE CVA'!$AB$16,2)</f>
        <v>166.76</v>
      </c>
      <c r="T8" s="29">
        <v>0</v>
      </c>
      <c r="U8" s="29">
        <f ca="1">ROUND('TUSD BE'!$AM$25,2)</f>
        <v>946.55</v>
      </c>
      <c r="V8" s="29">
        <f>ROUND('TE BE'!$AB$16,2)</f>
        <v>169.46</v>
      </c>
    </row>
    <row r="9" spans="1:22" ht="11.25" customHeight="1" x14ac:dyDescent="0.3">
      <c r="A9" s="104"/>
      <c r="B9" s="103" t="s">
        <v>38</v>
      </c>
      <c r="C9" s="103" t="s">
        <v>25</v>
      </c>
      <c r="D9" s="31" t="s">
        <v>784</v>
      </c>
      <c r="E9" s="29">
        <f ca="1">ROUND('TUSD BE'!$AM$10+'TUSD BF'!$AM$10+'TUSD CVA'!$AM$10,2)</f>
        <v>32.76</v>
      </c>
      <c r="F9" s="29">
        <v>0</v>
      </c>
      <c r="G9" s="29">
        <v>0</v>
      </c>
      <c r="H9" s="29">
        <f ca="1">ROUND('TUSD BE'!$AM$10,2)</f>
        <v>62.91</v>
      </c>
      <c r="I9" s="29">
        <v>0</v>
      </c>
      <c r="J9" s="29">
        <v>0</v>
      </c>
      <c r="L9" s="108"/>
      <c r="M9" s="31" t="s">
        <v>792</v>
      </c>
      <c r="N9" s="31" t="s">
        <v>788</v>
      </c>
      <c r="O9" s="31" t="s">
        <v>788</v>
      </c>
      <c r="P9" s="31" t="s">
        <v>784</v>
      </c>
      <c r="Q9" s="29">
        <v>0</v>
      </c>
      <c r="R9" s="29">
        <f ca="1">ROUND('TUSD BE'!$AM$20+'TUSD BF'!$AM$20+'TUSD CVA'!$AM$20,2)</f>
        <v>519.26</v>
      </c>
      <c r="S9" s="29">
        <f>ROUND('TE BE'!$AB$11+'TE BF'!$AB$11+'TE CVA'!$AB$11,2)</f>
        <v>166.76</v>
      </c>
      <c r="T9" s="29">
        <v>0</v>
      </c>
      <c r="U9" s="29">
        <f ca="1">ROUND('TUSD BE'!$AM$20,2)</f>
        <v>946.55</v>
      </c>
      <c r="V9" s="29">
        <f>ROUND('TE BE'!$AB$11,2)</f>
        <v>169.46</v>
      </c>
    </row>
    <row r="10" spans="1:22" ht="11.25" customHeight="1" x14ac:dyDescent="0.3">
      <c r="A10" s="104"/>
      <c r="B10" s="104"/>
      <c r="C10" s="104"/>
      <c r="D10" s="31" t="s">
        <v>781</v>
      </c>
      <c r="E10" s="29">
        <v>0</v>
      </c>
      <c r="F10" s="29">
        <f ca="1">ROUND('TUSD BE'!$AM$11+'TUSD BF'!$AM$11+'TUSD CVA'!$AM$11,2)</f>
        <v>2505.66</v>
      </c>
      <c r="G10" s="29">
        <f>ROUND('TE BE'!$AB$5+'TE BF'!$AB$5+'TE CVA'!$AB$5,2)</f>
        <v>166.76</v>
      </c>
      <c r="H10" s="29">
        <v>0</v>
      </c>
      <c r="I10" s="29">
        <f ca="1">ROUND('TUSD BE'!$AM$11,2)</f>
        <v>5011.42</v>
      </c>
      <c r="J10" s="29">
        <f>ROUND('TE BE'!$AB$5,2)</f>
        <v>169.46</v>
      </c>
      <c r="L10" s="108"/>
      <c r="M10" s="31" t="s">
        <v>790</v>
      </c>
      <c r="N10" s="31" t="s">
        <v>788</v>
      </c>
      <c r="O10" s="31" t="s">
        <v>791</v>
      </c>
      <c r="P10" s="31" t="s">
        <v>784</v>
      </c>
      <c r="Q10" s="29">
        <v>0</v>
      </c>
      <c r="R10" s="29">
        <f ca="1">ROUND('TUSD BE'!$AM$26+'TUSD BF'!$AM$26+'TUSD CVA'!$AM$26,2)</f>
        <v>412.96</v>
      </c>
      <c r="S10" s="29">
        <f>ROUND('TE BE'!$AB$17+'TE BF'!$AB$17+'TE CVA'!$AB$17,2)</f>
        <v>166.76</v>
      </c>
      <c r="T10" s="29">
        <v>0</v>
      </c>
      <c r="U10" s="29">
        <f ca="1">ROUND('TUSD BE'!$AM$26,2)</f>
        <v>839.31</v>
      </c>
      <c r="V10" s="29">
        <f>ROUND('TE BE'!$AB$17,2)</f>
        <v>169.46</v>
      </c>
    </row>
    <row r="11" spans="1:22" ht="11.25" customHeight="1" x14ac:dyDescent="0.3">
      <c r="A11" s="104"/>
      <c r="B11" s="104"/>
      <c r="C11" s="104"/>
      <c r="D11" s="31" t="s">
        <v>782</v>
      </c>
      <c r="E11" s="29">
        <v>0</v>
      </c>
      <c r="F11" s="29">
        <f ca="1">ROUND('TUSD BE'!$AM$12+'TUSD BF'!$AM$12+'TUSD CVA'!$AM$12,2)</f>
        <v>104.33</v>
      </c>
      <c r="G11" s="29">
        <f>ROUND('TE BE'!$AB$6+'TE BF'!$AB$6+'TE CVA'!$AB$6,2)</f>
        <v>166.76</v>
      </c>
      <c r="H11" s="29">
        <v>0</v>
      </c>
      <c r="I11" s="29">
        <f ca="1">ROUND('TUSD BE'!$AM$12,2)</f>
        <v>105.34</v>
      </c>
      <c r="J11" s="29">
        <f>ROUND('TE BE'!$AB$6,2)</f>
        <v>169.46</v>
      </c>
      <c r="L11" s="109"/>
      <c r="M11" s="31" t="s">
        <v>792</v>
      </c>
      <c r="N11" s="31" t="s">
        <v>788</v>
      </c>
      <c r="O11" s="31" t="s">
        <v>791</v>
      </c>
      <c r="P11" s="31" t="s">
        <v>784</v>
      </c>
      <c r="Q11" s="29">
        <v>0</v>
      </c>
      <c r="R11" s="29">
        <f ca="1">ROUND('TUSD BE'!$AM$21+'TUSD BF'!$AM$21+'TUSD CVA'!$AM$21,2)</f>
        <v>412.96</v>
      </c>
      <c r="S11" s="29">
        <f>ROUND('TE BE'!$AB$12+'TE BF'!$AB$12+'TE CVA'!$AB$12,2)</f>
        <v>166.76</v>
      </c>
      <c r="T11" s="29">
        <v>0</v>
      </c>
      <c r="U11" s="29">
        <f ca="1">ROUND('TUSD BE'!$AM$21,2)</f>
        <v>839.31</v>
      </c>
      <c r="V11" s="29">
        <f>ROUND('TE BE'!$AB$12,2)</f>
        <v>169.46</v>
      </c>
    </row>
    <row r="12" spans="1:22" ht="11.25" customHeight="1" x14ac:dyDescent="0.3">
      <c r="A12" s="104"/>
      <c r="B12" s="103" t="s">
        <v>785</v>
      </c>
      <c r="C12" s="103" t="s">
        <v>25</v>
      </c>
      <c r="D12" s="31" t="s">
        <v>784</v>
      </c>
      <c r="E12" s="29">
        <f ca="1">ROUND('TUSD BE'!$AM$10+'TUSD BF'!$AM$10+'TUSD CVA'!$AM$10,2)</f>
        <v>32.76</v>
      </c>
      <c r="F12" s="29">
        <v>0</v>
      </c>
      <c r="G12" s="29">
        <v>0</v>
      </c>
      <c r="H12" s="29">
        <f ca="1">ROUND('TUSD BE'!$AM$10,2)</f>
        <v>62.91</v>
      </c>
      <c r="I12" s="29">
        <v>0</v>
      </c>
      <c r="J12" s="29">
        <v>0</v>
      </c>
      <c r="L12" s="107" t="s">
        <v>43</v>
      </c>
      <c r="M12" s="107" t="s">
        <v>787</v>
      </c>
      <c r="N12" s="107" t="s">
        <v>793</v>
      </c>
      <c r="O12" s="107" t="s">
        <v>794</v>
      </c>
      <c r="P12" s="31" t="s">
        <v>781</v>
      </c>
      <c r="Q12" s="29">
        <v>0</v>
      </c>
      <c r="R12" s="29">
        <f ca="1">ROUND(('TUSD BE'!$AM$30+'TUSD BF'!$AM$30+'TUSD CVA'!$AM$30)*(1-CUSTOS!$M$38),2)</f>
        <v>1185.3</v>
      </c>
      <c r="S12" s="29">
        <f>ROUND(('TE BE'!$AB$21+'TE BF'!$AB$21+'TE CVA'!$AB$21)*(1-CUSTOS!$M$38),2)</f>
        <v>156.76</v>
      </c>
      <c r="T12" s="29">
        <v>0</v>
      </c>
      <c r="U12" s="29">
        <f ca="1">ROUND('TUSD BE'!$AM$30*(1-CUSTOS!$M$38),2)</f>
        <v>2367.5</v>
      </c>
      <c r="V12" s="29">
        <f>ROUND('TE BE'!$AB$21*(1-CUSTOS!$M$38),2)</f>
        <v>159.29</v>
      </c>
    </row>
    <row r="13" spans="1:22" ht="11.25" customHeight="1" x14ac:dyDescent="0.3">
      <c r="A13" s="104"/>
      <c r="B13" s="104"/>
      <c r="C13" s="104"/>
      <c r="D13" s="31" t="s">
        <v>781</v>
      </c>
      <c r="E13" s="29">
        <v>0</v>
      </c>
      <c r="F13" s="29">
        <f ca="1">ROUND('TUSD BE'!$AM$13+'TUSD BF'!$AM$13+'TUSD CVA'!$AM$13,2)</f>
        <v>2414.0500000000002</v>
      </c>
      <c r="G13" s="29">
        <v>0</v>
      </c>
      <c r="H13" s="29">
        <v>0</v>
      </c>
      <c r="I13" s="29">
        <f ca="1">ROUND('TUSD BE'!$AM$13,2)</f>
        <v>4919</v>
      </c>
      <c r="J13" s="29">
        <v>0</v>
      </c>
      <c r="L13" s="108"/>
      <c r="M13" s="108"/>
      <c r="N13" s="108"/>
      <c r="O13" s="108"/>
      <c r="P13" s="31" t="s">
        <v>789</v>
      </c>
      <c r="Q13" s="29">
        <v>0</v>
      </c>
      <c r="R13" s="29">
        <f ca="1">ROUND(('TUSD BE'!$AM$31+'TUSD BF'!$AM$31+'TUSD CVA'!$AM$31)*(1-CUSTOS!$M$38),2)</f>
        <v>763.39</v>
      </c>
      <c r="S13" s="29">
        <f>ROUND(('TE BE'!$AB$22+'TE BF'!$AB$22+'TE CVA'!$AB$22)*(1-CUSTOS!$M$38),2)</f>
        <v>156.76</v>
      </c>
      <c r="T13" s="29">
        <v>0</v>
      </c>
      <c r="U13" s="29">
        <f ca="1">ROUND('TUSD BE'!$AM$31*(1-CUSTOS!$M$38),2)</f>
        <v>1473.25</v>
      </c>
      <c r="V13" s="29">
        <f>ROUND('TE BE'!$AB$22*(1-CUSTOS!$M$38),2)</f>
        <v>159.29</v>
      </c>
    </row>
    <row r="14" spans="1:22" ht="11.25" customHeight="1" x14ac:dyDescent="0.3">
      <c r="A14" s="104"/>
      <c r="B14" s="104"/>
      <c r="C14" s="104"/>
      <c r="D14" s="31" t="s">
        <v>782</v>
      </c>
      <c r="E14" s="29">
        <v>0</v>
      </c>
      <c r="F14" s="29">
        <f ca="1">ROUND('TUSD BE'!$AM$14+'TUSD BF'!$AM$14+'TUSD CVA'!$AM$14,2)</f>
        <v>12.72</v>
      </c>
      <c r="G14" s="29">
        <v>0</v>
      </c>
      <c r="H14" s="29">
        <v>0</v>
      </c>
      <c r="I14" s="29">
        <f ca="1">ROUND('TUSD BE'!$AM$14,2)</f>
        <v>12.92</v>
      </c>
      <c r="J14" s="29">
        <v>0</v>
      </c>
      <c r="L14" s="108"/>
      <c r="M14" s="109"/>
      <c r="N14" s="109"/>
      <c r="O14" s="109"/>
      <c r="P14" s="31" t="s">
        <v>782</v>
      </c>
      <c r="Q14" s="29">
        <v>0</v>
      </c>
      <c r="R14" s="29">
        <f ca="1">ROUND(('TUSD BE'!$AM$32+'TUSD BF'!$AM$32+'TUSD CVA'!$AM$32)*(1-CUSTOS!$M$38),2)</f>
        <v>341.47</v>
      </c>
      <c r="S14" s="29">
        <f>ROUND(('TE BE'!$AB$23+'TE BF'!$AB$23+'TE CVA'!$AB$23)*(1-CUSTOS!$M$38),2)</f>
        <v>156.76</v>
      </c>
      <c r="T14" s="29">
        <v>0</v>
      </c>
      <c r="U14" s="29">
        <f ca="1">ROUND('TUSD BE'!$AM$32*(1-CUSTOS!$M$38),2)</f>
        <v>579</v>
      </c>
      <c r="V14" s="29">
        <f>ROUND('TE BE'!$AB$23*(1-CUSTOS!$M$38),2)</f>
        <v>159.29</v>
      </c>
    </row>
    <row r="15" spans="1:22" ht="11.25" customHeight="1" x14ac:dyDescent="0.3">
      <c r="A15" s="104"/>
      <c r="B15" s="31" t="s">
        <v>79</v>
      </c>
      <c r="C15" s="31" t="s">
        <v>25</v>
      </c>
      <c r="D15" s="31" t="s">
        <v>784</v>
      </c>
      <c r="E15" s="29">
        <f ca="1">ROUND('TUSD BE'!$AM$9+'TUSD BF'!$AM$9+'TUSD CVA'!$AM$9,2)</f>
        <v>4.63</v>
      </c>
      <c r="F15" s="29">
        <v>0</v>
      </c>
      <c r="G15" s="29">
        <v>0</v>
      </c>
      <c r="H15" s="29">
        <f ca="1">ROUND('TUSD BE'!$AM$9,2)</f>
        <v>11.89</v>
      </c>
      <c r="I15" s="29">
        <v>0</v>
      </c>
      <c r="J15" s="29">
        <v>0</v>
      </c>
      <c r="L15" s="108"/>
      <c r="M15" s="31" t="s">
        <v>790</v>
      </c>
      <c r="N15" s="31" t="s">
        <v>793</v>
      </c>
      <c r="O15" s="31" t="s">
        <v>794</v>
      </c>
      <c r="P15" s="31" t="s">
        <v>784</v>
      </c>
      <c r="Q15" s="29">
        <v>0</v>
      </c>
      <c r="R15" s="29">
        <f ca="1">ROUND(('TUSD BE'!$AM$42+'TUSD BF'!$AM$42+'TUSD CVA'!$AM$42)*(1-CUSTOS!$M$38),2)</f>
        <v>488.1</v>
      </c>
      <c r="S15" s="29">
        <f>ROUND(('TE BE'!$AB$33+'TE BF'!$AB$33+'TE CVA'!$AB$33)*(1-CUSTOS!$M$38),2)</f>
        <v>156.76</v>
      </c>
      <c r="T15" s="29">
        <v>0</v>
      </c>
      <c r="U15" s="29">
        <f ca="1">ROUND(('TUSD BE'!$AM$42)*(1-CUSTOS!$M$38),2)</f>
        <v>889.75</v>
      </c>
      <c r="V15" s="29">
        <f>ROUND(('TE BE'!$AB$33)*(1-CUSTOS!$M$38),2)</f>
        <v>159.29</v>
      </c>
    </row>
    <row r="16" spans="1:22" ht="11.25" customHeight="1" x14ac:dyDescent="0.3">
      <c r="L16" s="108"/>
      <c r="M16" s="31" t="s">
        <v>792</v>
      </c>
      <c r="N16" s="31" t="s">
        <v>793</v>
      </c>
      <c r="O16" s="31" t="s">
        <v>794</v>
      </c>
      <c r="P16" s="31" t="s">
        <v>784</v>
      </c>
      <c r="Q16" s="29">
        <v>0</v>
      </c>
      <c r="R16" s="29">
        <f ca="1">ROUND(('TUSD BE'!$AM$33+'TUSD BF'!$AM$33+'TUSD CVA'!$AM$33)*(1-CUSTOS!$M$38),2)</f>
        <v>488.1</v>
      </c>
      <c r="S16" s="29">
        <f>ROUND(('TE BE'!$AB$24+'TE BF'!$AB$24+'TE CVA'!$AB$24)*(1-CUSTOS!$M$38),2)</f>
        <v>156.76</v>
      </c>
      <c r="T16" s="29">
        <v>0</v>
      </c>
      <c r="U16" s="29">
        <f ca="1">ROUND(('TUSD BE'!$AM$33)*(1-CUSTOS!$M$38),2)</f>
        <v>889.75</v>
      </c>
      <c r="V16" s="29">
        <f>ROUND(('TE BE'!$AB$24)*(1-CUSTOS!$M$38),2)</f>
        <v>159.29</v>
      </c>
    </row>
    <row r="17" spans="12:22" ht="11.25" customHeight="1" x14ac:dyDescent="0.3">
      <c r="L17" s="108"/>
      <c r="M17" s="107" t="s">
        <v>787</v>
      </c>
      <c r="N17" s="107" t="s">
        <v>793</v>
      </c>
      <c r="O17" s="107" t="s">
        <v>795</v>
      </c>
      <c r="P17" s="31" t="s">
        <v>781</v>
      </c>
      <c r="Q17" s="29">
        <v>0</v>
      </c>
      <c r="R17" s="29">
        <f ca="1">ROUND(('TUSD BE'!$AM$34+'TUSD BF'!$AM$34+'TUSD CVA'!$AM$34)*(1-CUSTOS!$M$39),2)</f>
        <v>1185.3</v>
      </c>
      <c r="S17" s="29">
        <f>ROUND(('TE BE'!$AB$25+'TE BF'!$AB$25+'TE CVA'!$AB$25)*(1-CUSTOS!$M$39),2)</f>
        <v>156.76</v>
      </c>
      <c r="T17" s="29">
        <v>0</v>
      </c>
      <c r="U17" s="29">
        <f ca="1">ROUND('TUSD BE'!$AM$34*(1-CUSTOS!$M$39),2)</f>
        <v>2367.5</v>
      </c>
      <c r="V17" s="29">
        <f>ROUND('TE BE'!$AB$25*(1-CUSTOS!$M$39),2)</f>
        <v>159.29</v>
      </c>
    </row>
    <row r="18" spans="12:22" ht="11.25" customHeight="1" x14ac:dyDescent="0.3">
      <c r="L18" s="108"/>
      <c r="M18" s="108"/>
      <c r="N18" s="108"/>
      <c r="O18" s="108"/>
      <c r="P18" s="31" t="s">
        <v>789</v>
      </c>
      <c r="Q18" s="29">
        <v>0</v>
      </c>
      <c r="R18" s="29">
        <f ca="1">ROUND(('TUSD BE'!$AM$35+'TUSD BF'!$AM$35+'TUSD CVA'!$AM$35)*(1-CUSTOS!$M$39),2)</f>
        <v>763.39</v>
      </c>
      <c r="S18" s="29">
        <f>ROUND(('TE BE'!$AB$26+'TE BF'!$AB$26+'TE CVA'!$AB$26)*(1-CUSTOS!$M$39),2)</f>
        <v>156.76</v>
      </c>
      <c r="T18" s="29">
        <v>0</v>
      </c>
      <c r="U18" s="29">
        <f ca="1">ROUND('TUSD BE'!$AM$35*(1-CUSTOS!$M$39),2)</f>
        <v>1473.25</v>
      </c>
      <c r="V18" s="29">
        <f>ROUND('TE BE'!$AB$26*(1-CUSTOS!$M$39),2)</f>
        <v>159.29</v>
      </c>
    </row>
    <row r="19" spans="12:22" ht="11.25" customHeight="1" x14ac:dyDescent="0.3">
      <c r="L19" s="108"/>
      <c r="M19" s="109"/>
      <c r="N19" s="109"/>
      <c r="O19" s="109"/>
      <c r="P19" s="31" t="s">
        <v>782</v>
      </c>
      <c r="Q19" s="29">
        <v>0</v>
      </c>
      <c r="R19" s="29">
        <f ca="1">ROUND(('TUSD BE'!$AM$36+'TUSD BF'!$AM$36+'TUSD CVA'!$AM$36)*(1-CUSTOS!$M$39),2)</f>
        <v>341.47</v>
      </c>
      <c r="S19" s="29">
        <f>ROUND(('TE BE'!$AB$27+'TE BF'!$AB$27+'TE CVA'!$AB$27)*(1-CUSTOS!$M$39),2)</f>
        <v>156.76</v>
      </c>
      <c r="T19" s="29">
        <v>0</v>
      </c>
      <c r="U19" s="29">
        <f ca="1">ROUND('TUSD BE'!$AM$36*(1-CUSTOS!$M$39),2)</f>
        <v>579</v>
      </c>
      <c r="V19" s="29">
        <f>ROUND('TE BE'!$AB$27*(1-CUSTOS!$M$39),2)</f>
        <v>159.29</v>
      </c>
    </row>
    <row r="20" spans="12:22" ht="11.25" customHeight="1" x14ac:dyDescent="0.3">
      <c r="L20" s="108"/>
      <c r="M20" s="31" t="s">
        <v>790</v>
      </c>
      <c r="N20" s="31" t="s">
        <v>793</v>
      </c>
      <c r="O20" s="31" t="s">
        <v>795</v>
      </c>
      <c r="P20" s="31" t="s">
        <v>784</v>
      </c>
      <c r="Q20" s="29">
        <v>0</v>
      </c>
      <c r="R20" s="29">
        <f ca="1">ROUND(('TUSD BE'!$AM$42+'TUSD BF'!$AM$42+'TUSD CVA'!$AM$42)*(1-CUSTOS!$M$39),2)</f>
        <v>488.1</v>
      </c>
      <c r="S20" s="29">
        <f>ROUND(('TE BE'!$AB$33+'TE BF'!$AB$33+'TE CVA'!$AB$33)*(1-CUSTOS!$M$39),2)</f>
        <v>156.76</v>
      </c>
      <c r="T20" s="29">
        <v>0</v>
      </c>
      <c r="U20" s="29">
        <f ca="1">ROUND(('TUSD BE'!$AM$42)*(1-CUSTOS!$M$39),2)</f>
        <v>889.75</v>
      </c>
      <c r="V20" s="29">
        <f>ROUND(('TE BE'!$AB$33)*(1-CUSTOS!$M$39),2)</f>
        <v>159.29</v>
      </c>
    </row>
    <row r="21" spans="12:22" ht="11.25" customHeight="1" x14ac:dyDescent="0.3">
      <c r="L21" s="108"/>
      <c r="M21" s="31" t="s">
        <v>792</v>
      </c>
      <c r="N21" s="31" t="s">
        <v>793</v>
      </c>
      <c r="O21" s="31" t="s">
        <v>795</v>
      </c>
      <c r="P21" s="31" t="s">
        <v>784</v>
      </c>
      <c r="Q21" s="29">
        <v>0</v>
      </c>
      <c r="R21" s="29">
        <f ca="1">ROUND(('TUSD BE'!$AM$33+'TUSD BF'!$AM$33+'TUSD CVA'!$AM$33)*(1-CUSTOS!$M$39),2)</f>
        <v>488.1</v>
      </c>
      <c r="S21" s="29">
        <f>ROUND(('TE BE'!$AB$24+'TE BF'!$AB$24+'TE CVA'!$AB$24)*(1-CUSTOS!$M$39),2)</f>
        <v>156.76</v>
      </c>
      <c r="T21" s="29">
        <v>0</v>
      </c>
      <c r="U21" s="29">
        <f ca="1">ROUND(('TUSD BE'!$AM$33)*(1-CUSTOS!$M$39),2)</f>
        <v>889.75</v>
      </c>
      <c r="V21" s="29">
        <f>ROUND(('TE BE'!$AB$24)*(1-CUSTOS!$M$39),2)</f>
        <v>159.29</v>
      </c>
    </row>
    <row r="22" spans="12:22" ht="11.25" customHeight="1" x14ac:dyDescent="0.3">
      <c r="L22" s="108"/>
      <c r="M22" s="107" t="s">
        <v>787</v>
      </c>
      <c r="N22" s="107" t="s">
        <v>793</v>
      </c>
      <c r="O22" s="107" t="s">
        <v>796</v>
      </c>
      <c r="P22" s="31" t="s">
        <v>781</v>
      </c>
      <c r="Q22" s="29">
        <v>0</v>
      </c>
      <c r="R22" s="29">
        <f ca="1">ROUND(('TUSD BE'!$AM$38+'TUSD BF'!$AM$38+'TUSD CVA'!$AM$38)*(1-CUSTOS!$M$40),2)</f>
        <v>1160.08</v>
      </c>
      <c r="S22" s="29">
        <f>ROUND(('TE BE'!$AB$29+'TE BF'!$AB$29+'TE CVA'!$AB$29)*(1-CUSTOS!$M$40),2)</f>
        <v>153.41999999999999</v>
      </c>
      <c r="T22" s="29">
        <v>0</v>
      </c>
      <c r="U22" s="29">
        <f ca="1">ROUND('TUSD BE'!$AM$38*(1-CUSTOS!$M$40),2)</f>
        <v>2317.13</v>
      </c>
      <c r="V22" s="29">
        <f>ROUND('TE BE'!$AB$29*(1-CUSTOS!$M$40),2)</f>
        <v>155.9</v>
      </c>
    </row>
    <row r="23" spans="12:22" ht="11.25" customHeight="1" x14ac:dyDescent="0.3">
      <c r="L23" s="108"/>
      <c r="M23" s="108"/>
      <c r="N23" s="108"/>
      <c r="O23" s="108"/>
      <c r="P23" s="31" t="s">
        <v>789</v>
      </c>
      <c r="Q23" s="29">
        <v>0</v>
      </c>
      <c r="R23" s="29">
        <f ca="1">ROUND(('TUSD BE'!$AM$39+'TUSD BF'!$AM$39+'TUSD CVA'!$AM$39)*(1-CUSTOS!$M$40),2)</f>
        <v>747.15</v>
      </c>
      <c r="S23" s="29">
        <f>ROUND(('TE BE'!$AB$30+'TE BF'!$AB$30+'TE CVA'!$AB$30)*(1-CUSTOS!$M$40),2)</f>
        <v>153.41999999999999</v>
      </c>
      <c r="T23" s="29">
        <v>0</v>
      </c>
      <c r="U23" s="29">
        <f ca="1">ROUND('TUSD BE'!$AM$39*(1-CUSTOS!$M$40),2)</f>
        <v>1441.9</v>
      </c>
      <c r="V23" s="29">
        <f>ROUND('TE BE'!$AB$30*(1-CUSTOS!$M$40),2)</f>
        <v>155.9</v>
      </c>
    </row>
    <row r="24" spans="12:22" ht="11.25" customHeight="1" x14ac:dyDescent="0.3">
      <c r="L24" s="108"/>
      <c r="M24" s="109"/>
      <c r="N24" s="109"/>
      <c r="O24" s="109"/>
      <c r="P24" s="31" t="s">
        <v>782</v>
      </c>
      <c r="Q24" s="29">
        <v>0</v>
      </c>
      <c r="R24" s="29">
        <f ca="1">ROUND(('TUSD BE'!$AM$40+'TUSD BF'!$AM$40+'TUSD CVA'!$AM$40)*(1-CUSTOS!$M$40),2)</f>
        <v>334.21</v>
      </c>
      <c r="S24" s="29">
        <f>ROUND(('TE BE'!$AB$31+'TE BF'!$AB$31+'TE CVA'!$AB$31)*(1-CUSTOS!$M$40),2)</f>
        <v>153.41999999999999</v>
      </c>
      <c r="T24" s="29">
        <v>0</v>
      </c>
      <c r="U24" s="29">
        <f ca="1">ROUND('TUSD BE'!$AM$40*(1-CUSTOS!$M$40),2)</f>
        <v>566.67999999999995</v>
      </c>
      <c r="V24" s="29">
        <f>ROUND('TE BE'!$AB$31*(1-CUSTOS!$M$40),2)</f>
        <v>155.9</v>
      </c>
    </row>
    <row r="25" spans="12:22" ht="11.25" customHeight="1" x14ac:dyDescent="0.3">
      <c r="L25" s="108"/>
      <c r="M25" s="31" t="s">
        <v>790</v>
      </c>
      <c r="N25" s="31" t="s">
        <v>793</v>
      </c>
      <c r="O25" s="31" t="s">
        <v>796</v>
      </c>
      <c r="P25" s="31" t="s">
        <v>784</v>
      </c>
      <c r="Q25" s="29">
        <v>0</v>
      </c>
      <c r="R25" s="29">
        <f ca="1">ROUND(('TUSD BE'!$AM$42+'TUSD BF'!$AM$42+'TUSD CVA'!$AM$42)*(1-CUSTOS!$M$40),2)</f>
        <v>477.72</v>
      </c>
      <c r="S25" s="29">
        <f>ROUND(('TE BE'!$AB$33+'TE BF'!$AB$33+'TE CVA'!$AB$33)*(1-CUSTOS!$M$40),2)</f>
        <v>153.41999999999999</v>
      </c>
      <c r="T25" s="29">
        <v>0</v>
      </c>
      <c r="U25" s="29">
        <f ca="1">ROUND(('TUSD BE'!$AM$42)*(1-CUSTOS!$M$40),2)</f>
        <v>870.82</v>
      </c>
      <c r="V25" s="29">
        <f>ROUND(('TE BE'!$AB$33)*(1-CUSTOS!$M$40),2)</f>
        <v>155.9</v>
      </c>
    </row>
    <row r="26" spans="12:22" ht="11.25" customHeight="1" x14ac:dyDescent="0.3">
      <c r="L26" s="109"/>
      <c r="M26" s="31" t="s">
        <v>792</v>
      </c>
      <c r="N26" s="31" t="s">
        <v>793</v>
      </c>
      <c r="O26" s="31" t="s">
        <v>796</v>
      </c>
      <c r="P26" s="31" t="s">
        <v>784</v>
      </c>
      <c r="Q26" s="29">
        <v>0</v>
      </c>
      <c r="R26" s="29">
        <f ca="1">ROUND(('TUSD BE'!$AM$33+'TUSD BF'!$AM$33+'TUSD CVA'!$AM$33)*(1-CUSTOS!$M$40),2)</f>
        <v>477.72</v>
      </c>
      <c r="S26" s="29">
        <f>ROUND(('TE BE'!$AB$24+'TE BF'!$AB$24+'TE CVA'!$AB$24)*(1-CUSTOS!$M$40),2)</f>
        <v>153.41999999999999</v>
      </c>
      <c r="T26" s="29">
        <v>0</v>
      </c>
      <c r="U26" s="29">
        <f ca="1">ROUND(('TUSD BE'!$AM$33)*(1-CUSTOS!$M$40),2)</f>
        <v>870.82</v>
      </c>
      <c r="V26" s="29">
        <f>ROUND(('TE BE'!$AB$24)*(1-CUSTOS!$M$40),2)</f>
        <v>155.9</v>
      </c>
    </row>
    <row r="27" spans="12:22" ht="11.25" customHeight="1" x14ac:dyDescent="0.3">
      <c r="L27" s="107" t="s">
        <v>35</v>
      </c>
      <c r="M27" s="107" t="s">
        <v>787</v>
      </c>
      <c r="N27" s="107" t="s">
        <v>784</v>
      </c>
      <c r="O27" s="107" t="s">
        <v>784</v>
      </c>
      <c r="P27" s="31" t="s">
        <v>781</v>
      </c>
      <c r="Q27" s="29">
        <v>0</v>
      </c>
      <c r="R27" s="29">
        <f ca="1">ROUND(('TUSD BE'!$AM$45+'TUSD BF'!$AM$45+'TUSD CVA'!$AM$45)*(1-CUSTOS!$M$31),2)</f>
        <v>1451.23</v>
      </c>
      <c r="S27" s="29">
        <f>ROUND(('TE BE'!$AB$36+'TE BF'!$AB$36+'TE CVA'!$AB$36)*(1-CUSTOS!$M$31),2)</f>
        <v>166.76</v>
      </c>
      <c r="T27" s="29">
        <v>0</v>
      </c>
      <c r="U27" s="29">
        <f ca="1">ROUND('TUSD BE'!$AM$45*(1-CUSTOS!$M$31),2)</f>
        <v>2921.82</v>
      </c>
      <c r="V27" s="29">
        <f>ROUND('TE BE'!$AB$36*(1-CUSTOS!$M$31),2)</f>
        <v>169.46</v>
      </c>
    </row>
    <row r="28" spans="12:22" ht="11.25" customHeight="1" x14ac:dyDescent="0.3">
      <c r="L28" s="108"/>
      <c r="M28" s="108"/>
      <c r="N28" s="108"/>
      <c r="O28" s="108"/>
      <c r="P28" s="31" t="s">
        <v>789</v>
      </c>
      <c r="Q28" s="29">
        <v>0</v>
      </c>
      <c r="R28" s="29">
        <f ca="1">ROUND(('TUSD BE'!$AM$46+'TUSD BF'!$AM$46+'TUSD CVA'!$AM$46)*(1-CUSTOS!$M$31),2)</f>
        <v>926.25</v>
      </c>
      <c r="S28" s="29">
        <f>ROUND(('TE BE'!$AB$37+'TE BF'!$AB$37+'TE CVA'!$AB$37)*(1-CUSTOS!$M$31),2)</f>
        <v>166.76</v>
      </c>
      <c r="T28" s="29">
        <v>0</v>
      </c>
      <c r="U28" s="29">
        <f ca="1">ROUND('TUSD BE'!$AM$46*(1-CUSTOS!$M$31),2)</f>
        <v>1809.18</v>
      </c>
      <c r="V28" s="29">
        <f>ROUND('TE BE'!$AB$37*(1-CUSTOS!$M$31),2)</f>
        <v>169.46</v>
      </c>
    </row>
    <row r="29" spans="12:22" ht="11.25" customHeight="1" x14ac:dyDescent="0.3">
      <c r="L29" s="108"/>
      <c r="M29" s="109"/>
      <c r="N29" s="109"/>
      <c r="O29" s="109"/>
      <c r="P29" s="31" t="s">
        <v>782</v>
      </c>
      <c r="Q29" s="29">
        <v>0</v>
      </c>
      <c r="R29" s="29">
        <f ca="1">ROUND(('TUSD BE'!$AM$47+'TUSD BF'!$AM$47+'TUSD CVA'!$AM$47)*(1-CUSTOS!$M$31),2)</f>
        <v>401.34</v>
      </c>
      <c r="S29" s="29">
        <f>ROUND(('TE BE'!$AB$38+'TE BF'!$AB$38+'TE CVA'!$AB$38)*(1-CUSTOS!$M$31),2)</f>
        <v>166.76</v>
      </c>
      <c r="T29" s="29">
        <v>0</v>
      </c>
      <c r="U29" s="29">
        <f ca="1">ROUND('TUSD BE'!$AM$47*(1-CUSTOS!$M$31),2)</f>
        <v>696.61</v>
      </c>
      <c r="V29" s="29">
        <f>ROUND('TE BE'!$AB$38*(1-CUSTOS!$M$31),2)</f>
        <v>169.46</v>
      </c>
    </row>
    <row r="30" spans="12:22" ht="11.25" customHeight="1" x14ac:dyDescent="0.3">
      <c r="L30" s="108"/>
      <c r="M30" s="31" t="s">
        <v>790</v>
      </c>
      <c r="N30" s="31" t="s">
        <v>784</v>
      </c>
      <c r="O30" s="31" t="s">
        <v>784</v>
      </c>
      <c r="P30" s="31" t="s">
        <v>784</v>
      </c>
      <c r="Q30" s="29">
        <v>0</v>
      </c>
      <c r="R30" s="29">
        <f ca="1">ROUND(('TUSD BE'!$AM$49+'TUSD BF'!$AM$49+'TUSD CVA'!$AM$49)*(1-CUSTOS!$M$31),2)</f>
        <v>519.26</v>
      </c>
      <c r="S30" s="29">
        <f>ROUND(('TE BE'!$AB$40+'TE BF'!$AB$40+'TE CVA'!$AB$40)*(1-CUSTOS!$M$31),2)</f>
        <v>166.76</v>
      </c>
      <c r="T30" s="29">
        <v>0</v>
      </c>
      <c r="U30" s="29">
        <f ca="1">ROUND(('TUSD BE'!$AM$49)*(1-CUSTOS!$M$31),2)</f>
        <v>946.55</v>
      </c>
      <c r="V30" s="29">
        <f>ROUND(('TE BE'!$AB$40)*(1-CUSTOS!$M$31),2)</f>
        <v>169.46</v>
      </c>
    </row>
    <row r="31" spans="12:22" ht="11.25" customHeight="1" x14ac:dyDescent="0.3">
      <c r="L31" s="109"/>
      <c r="M31" s="31" t="s">
        <v>792</v>
      </c>
      <c r="N31" s="31" t="s">
        <v>784</v>
      </c>
      <c r="O31" s="31" t="s">
        <v>784</v>
      </c>
      <c r="P31" s="31" t="s">
        <v>784</v>
      </c>
      <c r="Q31" s="29">
        <v>0</v>
      </c>
      <c r="R31" s="29">
        <f ca="1">ROUND(('TUSD BE'!$AM$48+'TUSD BF'!$AM$48+'TUSD CVA'!$AM$48)*(1-CUSTOS!$M$31),2)</f>
        <v>519.26</v>
      </c>
      <c r="S31" s="29">
        <f>ROUND(('TE BE'!$AB$39+'TE BF'!$AB$39+'TE CVA'!$AB$39)*(1-CUSTOS!$M$31),2)</f>
        <v>166.76</v>
      </c>
      <c r="T31" s="29">
        <v>0</v>
      </c>
      <c r="U31" s="29">
        <f ca="1">ROUND(('TUSD BE'!$AM$48)*(1-CUSTOS!$M$31),2)</f>
        <v>946.55</v>
      </c>
      <c r="V31" s="29">
        <f>ROUND(('TE BE'!$AB$39)*(1-CUSTOS!$M$31),2)</f>
        <v>169.46</v>
      </c>
    </row>
    <row r="32" spans="12:22" ht="11.25" customHeight="1" x14ac:dyDescent="0.3">
      <c r="L32" s="107" t="s">
        <v>46</v>
      </c>
      <c r="M32" s="107" t="s">
        <v>792</v>
      </c>
      <c r="N32" s="107" t="s">
        <v>797</v>
      </c>
      <c r="O32" s="31" t="s">
        <v>798</v>
      </c>
      <c r="P32" s="31" t="s">
        <v>784</v>
      </c>
      <c r="Q32" s="29">
        <v>0</v>
      </c>
      <c r="R32" s="29">
        <f ca="1">ROUND(('TUSD BE'!$AM$50+'TUSD BF'!$AM$50+'TUSD CVA'!$AM$50),2)</f>
        <v>285.58999999999997</v>
      </c>
      <c r="S32" s="29">
        <f>ROUND(('TE BE'!$AB$41+'TE BF'!$AB$41+'TE CVA'!$AB$41),2)</f>
        <v>91.72</v>
      </c>
      <c r="T32" s="29">
        <v>0</v>
      </c>
      <c r="U32" s="29">
        <f ca="1">ROUND(('TUSD BE'!$AM$50),2)</f>
        <v>520.6</v>
      </c>
      <c r="V32" s="29">
        <f>ROUND(('TE BE'!$AB$41),2)</f>
        <v>93.2</v>
      </c>
    </row>
    <row r="33" spans="12:22" ht="11.25" customHeight="1" x14ac:dyDescent="0.3">
      <c r="L33" s="109"/>
      <c r="M33" s="109"/>
      <c r="N33" s="109"/>
      <c r="O33" s="31" t="s">
        <v>799</v>
      </c>
      <c r="P33" s="31" t="s">
        <v>784</v>
      </c>
      <c r="Q33" s="29">
        <v>0</v>
      </c>
      <c r="R33" s="29">
        <f ca="1">ROUND(('TUSD BE'!$AM$51+'TUSD BF'!$AM$51+'TUSD CVA'!$AM$51),2)</f>
        <v>311.56</v>
      </c>
      <c r="S33" s="29">
        <f>ROUND(('TE BE'!$AB$42+'TE BF'!$AB$42+'TE CVA'!$AB$42),2)</f>
        <v>100.06</v>
      </c>
      <c r="T33" s="29">
        <v>0</v>
      </c>
      <c r="U33" s="29">
        <f ca="1">ROUND(('TUSD BE'!$AM$51),2)</f>
        <v>567.92999999999995</v>
      </c>
      <c r="V33" s="29">
        <f>ROUND(('TE BE'!$AB$42),2)</f>
        <v>101.68</v>
      </c>
    </row>
    <row r="34" spans="12:22" ht="11.25" customHeight="1" x14ac:dyDescent="0.3">
      <c r="L34" s="107" t="s">
        <v>80</v>
      </c>
      <c r="M34" s="107" t="s">
        <v>800</v>
      </c>
      <c r="N34" s="31" t="s">
        <v>81</v>
      </c>
      <c r="O34" s="31" t="s">
        <v>784</v>
      </c>
      <c r="P34" s="31" t="s">
        <v>784</v>
      </c>
      <c r="Q34" s="29">
        <f ca="1">ROUND(('TUSD BE'!$AM$15+'TUSD BF'!$AM$15+'TUSD CVA'!$AM$15),2)</f>
        <v>7.94</v>
      </c>
      <c r="R34" s="29">
        <v>0</v>
      </c>
      <c r="S34" s="29">
        <v>0</v>
      </c>
      <c r="T34" s="29">
        <f ca="1">ROUND(('TUSD BE'!$AM$15),2)</f>
        <v>20.43</v>
      </c>
      <c r="U34" s="29">
        <v>0</v>
      </c>
      <c r="V34" s="29">
        <v>0</v>
      </c>
    </row>
    <row r="35" spans="12:22" ht="11.25" customHeight="1" x14ac:dyDescent="0.3">
      <c r="L35" s="109"/>
      <c r="M35" s="109"/>
      <c r="N35" s="31" t="s">
        <v>82</v>
      </c>
      <c r="O35" s="31" t="s">
        <v>784</v>
      </c>
      <c r="P35" s="31" t="s">
        <v>784</v>
      </c>
      <c r="Q35" s="29">
        <f ca="1">ROUND(('TUSD BE'!$AM$16+'TUSD BF'!$AM$16+'TUSD CVA'!$AM$16),2)</f>
        <v>16.149999999999999</v>
      </c>
      <c r="R35" s="29">
        <v>0</v>
      </c>
      <c r="S35" s="29">
        <v>0</v>
      </c>
      <c r="T35" s="29">
        <f ca="1">ROUND(('TUSD BE'!$AM$16),2)</f>
        <v>41.54</v>
      </c>
      <c r="U35" s="29">
        <v>0</v>
      </c>
      <c r="V35" s="2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7893-41D6-4CAC-9AD7-0F1564E2913A}">
  <dimension ref="A1:AN418"/>
  <sheetViews>
    <sheetView showGridLines="0" workbookViewId="0">
      <selection sqref="A1:O418 Q1:AJ13"/>
    </sheetView>
  </sheetViews>
  <sheetFormatPr defaultRowHeight="11.25" customHeight="1" x14ac:dyDescent="0.3"/>
  <cols>
    <col min="1" max="1" width="18" style="4" bestFit="1" customWidth="1"/>
    <col min="2" max="2" width="7.6640625" style="4" bestFit="1" customWidth="1"/>
    <col min="3" max="3" width="9.21875" style="4" bestFit="1" customWidth="1"/>
    <col min="4" max="4" width="12.6640625" style="4" bestFit="1" customWidth="1"/>
    <col min="5" max="5" width="23.109375" style="4" bestFit="1" customWidth="1"/>
    <col min="6" max="8" width="9.5546875" style="4" bestFit="1" customWidth="1"/>
    <col min="9" max="9" width="7.88671875" style="5" bestFit="1" customWidth="1"/>
    <col min="10" max="10" width="9.5546875" style="6" bestFit="1" customWidth="1"/>
    <col min="11" max="11" width="10" style="6" bestFit="1" customWidth="1"/>
    <col min="12" max="12" width="8.77734375" style="6" bestFit="1" customWidth="1"/>
    <col min="13" max="13" width="13.109375" style="6" bestFit="1" customWidth="1"/>
    <col min="14" max="14" width="13.5546875" style="6" bestFit="1" customWidth="1"/>
    <col min="15" max="15" width="12.21875" style="6" bestFit="1" customWidth="1"/>
    <col min="16" max="16" width="6.33203125" style="6" bestFit="1" customWidth="1"/>
    <col min="17" max="17" width="9" style="4" bestFit="1" customWidth="1"/>
    <col min="18" max="18" width="17.88671875" style="4" bestFit="1" customWidth="1"/>
    <col min="19" max="19" width="19.21875" style="4" bestFit="1" customWidth="1"/>
    <col min="20" max="20" width="17.109375" style="4" bestFit="1" customWidth="1"/>
    <col min="21" max="21" width="16.44140625" style="4" bestFit="1" customWidth="1"/>
    <col min="22" max="22" width="17.88671875" style="4" bestFit="1" customWidth="1"/>
    <col min="23" max="23" width="15.6640625" style="4" bestFit="1" customWidth="1"/>
    <col min="24" max="24" width="16.109375" style="4" bestFit="1" customWidth="1"/>
    <col min="25" max="25" width="17.5546875" style="4" bestFit="1" customWidth="1"/>
    <col min="26" max="26" width="15.33203125" style="4" bestFit="1" customWidth="1"/>
    <col min="27" max="27" width="16.109375" style="4" bestFit="1" customWidth="1"/>
    <col min="28" max="28" width="17.5546875" style="4" bestFit="1" customWidth="1"/>
    <col min="29" max="29" width="15.33203125" style="4" bestFit="1" customWidth="1"/>
    <col min="30" max="30" width="16.44140625" style="4" bestFit="1" customWidth="1"/>
    <col min="31" max="31" width="20.5546875" style="4" bestFit="1" customWidth="1"/>
    <col min="32" max="32" width="10.88671875" style="4" bestFit="1" customWidth="1"/>
    <col min="33" max="33" width="12.21875" style="4" bestFit="1" customWidth="1"/>
    <col min="34" max="34" width="10.109375" style="4" bestFit="1" customWidth="1"/>
    <col min="35" max="35" width="11.21875" style="4" bestFit="1" customWidth="1"/>
    <col min="36" max="36" width="15.33203125" style="4" bestFit="1" customWidth="1"/>
    <col min="37" max="37" width="8.88671875" style="4"/>
    <col min="38" max="38" width="8" style="4" bestFit="1" customWidth="1"/>
    <col min="39" max="39" width="5.109375" style="4" bestFit="1" customWidth="1"/>
    <col min="40" max="40" width="14" style="4" bestFit="1" customWidth="1"/>
    <col min="41" max="16384" width="8.88671875" style="4"/>
  </cols>
  <sheetData>
    <row r="1" spans="1:40" s="1" customFormat="1" ht="11.25" customHeight="1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3" t="s">
        <v>8</v>
      </c>
      <c r="J1" s="30" t="s">
        <v>747</v>
      </c>
      <c r="K1" s="30" t="s">
        <v>748</v>
      </c>
      <c r="L1" s="30" t="s">
        <v>749</v>
      </c>
      <c r="M1" s="30" t="s">
        <v>750</v>
      </c>
      <c r="N1" s="30" t="s">
        <v>751</v>
      </c>
      <c r="O1" s="30" t="s">
        <v>752</v>
      </c>
      <c r="P1" s="7"/>
      <c r="Q1" s="100" t="s">
        <v>753</v>
      </c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L1" s="34" t="s">
        <v>774</v>
      </c>
      <c r="AM1" s="34" t="s">
        <v>57</v>
      </c>
      <c r="AN1" s="34" t="s">
        <v>775</v>
      </c>
    </row>
    <row r="2" spans="1:40" ht="11.25" customHeight="1" x14ac:dyDescent="0.2">
      <c r="A2" s="35" t="s">
        <v>21</v>
      </c>
      <c r="B2" s="35" t="s">
        <v>37</v>
      </c>
      <c r="C2" s="35" t="s">
        <v>41</v>
      </c>
      <c r="D2" s="35" t="s">
        <v>40</v>
      </c>
      <c r="E2" s="35" t="s">
        <v>25</v>
      </c>
      <c r="F2" s="35" t="s">
        <v>25</v>
      </c>
      <c r="G2" s="35" t="s">
        <v>25</v>
      </c>
      <c r="H2" s="35" t="s">
        <v>34</v>
      </c>
      <c r="I2" s="54">
        <v>44440</v>
      </c>
      <c r="J2" s="55">
        <f ca="1">EFEITO!$J$2*EFEITO!$Y$2</f>
        <v>18182.281364495448</v>
      </c>
      <c r="K2" s="55">
        <f ca="1">EFEITO!$L$2*EFEITO!$Z$2</f>
        <v>30132.844807730937</v>
      </c>
      <c r="L2" s="55">
        <f>EFEITO!$N$2*EFEITO!$AA$2</f>
        <v>48163.632957205227</v>
      </c>
      <c r="M2" s="55">
        <f ca="1">$J$2-EFEITO!$K$2*EFEITO!$Y$2</f>
        <v>0</v>
      </c>
      <c r="N2" s="55">
        <f ca="1">$K$2-EFEITO!$M$2*EFEITO!$Z$2</f>
        <v>0</v>
      </c>
      <c r="O2" s="55">
        <f>$L$2-EFEITO!$O$2*EFEITO!$AA$2</f>
        <v>0</v>
      </c>
      <c r="P2" s="39"/>
      <c r="Q2" s="28" t="s">
        <v>60</v>
      </c>
      <c r="R2" s="28" t="s">
        <v>755</v>
      </c>
      <c r="S2" s="28" t="s">
        <v>756</v>
      </c>
      <c r="T2" s="28" t="s">
        <v>757</v>
      </c>
      <c r="U2" s="28" t="s">
        <v>758</v>
      </c>
      <c r="V2" s="28" t="s">
        <v>759</v>
      </c>
      <c r="W2" s="28" t="s">
        <v>760</v>
      </c>
      <c r="X2" s="56" t="s">
        <v>761</v>
      </c>
      <c r="Y2" s="56" t="s">
        <v>762</v>
      </c>
      <c r="Z2" s="56" t="s">
        <v>763</v>
      </c>
      <c r="AA2" s="56" t="s">
        <v>764</v>
      </c>
      <c r="AB2" s="56" t="s">
        <v>765</v>
      </c>
      <c r="AC2" s="56" t="s">
        <v>766</v>
      </c>
      <c r="AD2" s="56" t="s">
        <v>767</v>
      </c>
      <c r="AE2" s="56" t="s">
        <v>768</v>
      </c>
      <c r="AF2" s="56" t="s">
        <v>769</v>
      </c>
      <c r="AG2" s="56" t="s">
        <v>770</v>
      </c>
      <c r="AH2" s="56" t="s">
        <v>771</v>
      </c>
      <c r="AI2" s="56" t="s">
        <v>772</v>
      </c>
      <c r="AJ2" s="56" t="s">
        <v>773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37</v>
      </c>
      <c r="C3" s="35" t="s">
        <v>41</v>
      </c>
      <c r="D3" s="35" t="s">
        <v>40</v>
      </c>
      <c r="E3" s="35" t="s">
        <v>25</v>
      </c>
      <c r="F3" s="35" t="s">
        <v>25</v>
      </c>
      <c r="G3" s="35" t="s">
        <v>25</v>
      </c>
      <c r="H3" s="35" t="s">
        <v>34</v>
      </c>
      <c r="I3" s="54">
        <v>44470</v>
      </c>
      <c r="J3" s="55">
        <f ca="1">EFEITO!$J$3*EFEITO!$Y$3</f>
        <v>17723.629221967632</v>
      </c>
      <c r="K3" s="55">
        <f ca="1">EFEITO!$L$3*EFEITO!$Z$3</f>
        <v>32749.204642238506</v>
      </c>
      <c r="L3" s="55">
        <f>EFEITO!$N$3*EFEITO!$AA$3</f>
        <v>52345.561200530814</v>
      </c>
      <c r="M3" s="55">
        <f ca="1">$J$3-EFEITO!$K$3*EFEITO!$Y$3</f>
        <v>0</v>
      </c>
      <c r="N3" s="55">
        <f ca="1">$K$3-EFEITO!$M$3*EFEITO!$Z$3</f>
        <v>0</v>
      </c>
      <c r="O3" s="55">
        <f>$L$3-EFEITO!$O$3*EFEITO!$AA$3</f>
        <v>0</v>
      </c>
      <c r="P3" s="39"/>
      <c r="Q3" s="55" t="s">
        <v>754</v>
      </c>
      <c r="R3" s="55">
        <f>SUMIF($B$2:$B$418,$Q$3,$J$2:$J$418)</f>
        <v>0</v>
      </c>
      <c r="S3" s="55">
        <f>SUMIF($B$2:$B$418,$Q$3,$K$2:$K$418)</f>
        <v>0</v>
      </c>
      <c r="T3" s="55">
        <f>SUMIF($B$2:$B$418,$Q$3,$L$2:$L$418)</f>
        <v>0</v>
      </c>
      <c r="U3" s="55">
        <f>SUMIF($B$2:$B$418,$Q$3,$M$2:$M$418)</f>
        <v>0</v>
      </c>
      <c r="V3" s="55">
        <f>SUMIF($B$2:$B$418,$Q$3,$N$2:$N$418)</f>
        <v>0</v>
      </c>
      <c r="W3" s="55">
        <f>SUMIF($B$2:$B$418,$Q$3,$O$2:$O$418)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SUMIF(EFEITO!$B$2:$B$418,$Q$3,EFEITO!$AE$2:$AE$418)</f>
        <v>0</v>
      </c>
      <c r="AB3" s="36">
        <f>SUMIF(EFEITO!$B$2:$B$418,$Q$3,EFEITO!$AF$2:$AF$418)</f>
        <v>0</v>
      </c>
      <c r="AC3" s="36">
        <f>SUMIF(EFEITO!$B$2:$B$418,$Q$3,EFEITO!$AG$2:$AH$418)</f>
        <v>0</v>
      </c>
      <c r="AD3" s="36">
        <f>SUMIF(SUBSIDIO!$B$2:$B$418,$Q$3,SUBSIDIO!$AD$2:$AD$418)</f>
        <v>0</v>
      </c>
      <c r="AE3" s="36">
        <f>SUMIF(SUBSIDIO!$B$2:$B$418,$Q$3,SUBSIDIO!$AE$2:$AE$418)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21</v>
      </c>
      <c r="B4" s="35" t="s">
        <v>37</v>
      </c>
      <c r="C4" s="35" t="s">
        <v>41</v>
      </c>
      <c r="D4" s="35" t="s">
        <v>40</v>
      </c>
      <c r="E4" s="35" t="s">
        <v>25</v>
      </c>
      <c r="F4" s="35" t="s">
        <v>25</v>
      </c>
      <c r="G4" s="35" t="s">
        <v>25</v>
      </c>
      <c r="H4" s="35" t="s">
        <v>34</v>
      </c>
      <c r="I4" s="54">
        <v>44501</v>
      </c>
      <c r="J4" s="55">
        <f ca="1">EFEITO!$J$4*EFEITO!$Y$4</f>
        <v>18182.281364495448</v>
      </c>
      <c r="K4" s="55">
        <f ca="1">EFEITO!$L$4*EFEITO!$Z$4</f>
        <v>34347.065266136233</v>
      </c>
      <c r="L4" s="55">
        <f>EFEITO!$N$4*EFEITO!$AA$4</f>
        <v>54899.544174831215</v>
      </c>
      <c r="M4" s="55">
        <f ca="1">$J$4-EFEITO!$K$4*EFEITO!$Y$4</f>
        <v>0</v>
      </c>
      <c r="N4" s="55">
        <f ca="1">$K$4-EFEITO!$M$4*EFEITO!$Z$4</f>
        <v>0</v>
      </c>
      <c r="O4" s="55">
        <f>$L$4-EFEITO!$O$4*EFEITO!$AA$4</f>
        <v>0</v>
      </c>
      <c r="P4" s="39"/>
      <c r="Q4" s="55" t="s">
        <v>632</v>
      </c>
      <c r="R4" s="55">
        <f>SUMIF($B$2:$B$418,$Q$4,$J$2:$J$418)</f>
        <v>0</v>
      </c>
      <c r="S4" s="55">
        <f>SUMIF($B$2:$B$418,$Q$4,$K$2:$K$418)</f>
        <v>0</v>
      </c>
      <c r="T4" s="55">
        <f>SUMIF($B$2:$B$418,$Q$4,$L$2:$L$418)</f>
        <v>0</v>
      </c>
      <c r="U4" s="55">
        <f>SUMIF($B$2:$B$418,$Q$4,$M$2:$M$418)</f>
        <v>0</v>
      </c>
      <c r="V4" s="55">
        <f>SUMIF($B$2:$B$418,$Q$4,$N$2:$N$418)</f>
        <v>0</v>
      </c>
      <c r="W4" s="55">
        <f>SUMIF($B$2:$B$418,$Q$4,$O$2:$O$418)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SUMIF(EFEITO!$B$2:$B$418,$Q$4,EFEITO!$AE$2:$AE$418)</f>
        <v>0</v>
      </c>
      <c r="AB4" s="36">
        <f>SUMIF(EFEITO!$B$2:$B$418,$Q$4,EFEITO!$AF$2:$AF$418)</f>
        <v>0</v>
      </c>
      <c r="AC4" s="36">
        <f>SUMIF(EFEITO!$B$2:$B$418,$Q$4,EFEITO!$AG$2:$AH$418)</f>
        <v>0</v>
      </c>
      <c r="AD4" s="36">
        <f>SUMIF(SUBSIDIO!$B$2:$B$418,$Q$4,SUBSIDIO!$AD$2:$AD$418)</f>
        <v>0</v>
      </c>
      <c r="AE4" s="36">
        <f>SUMIF(SUBSIDIO!$B$2:$B$418,$Q$4,SUBSIDIO!$AE$2:$AE$418)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21</v>
      </c>
      <c r="B5" s="35" t="s">
        <v>37</v>
      </c>
      <c r="C5" s="35" t="s">
        <v>41</v>
      </c>
      <c r="D5" s="35" t="s">
        <v>40</v>
      </c>
      <c r="E5" s="35" t="s">
        <v>25</v>
      </c>
      <c r="F5" s="35" t="s">
        <v>25</v>
      </c>
      <c r="G5" s="35" t="s">
        <v>25</v>
      </c>
      <c r="H5" s="35" t="s">
        <v>34</v>
      </c>
      <c r="I5" s="54">
        <v>44531</v>
      </c>
      <c r="J5" s="55">
        <f ca="1">EFEITO!$J$5*EFEITO!$Y$5</f>
        <v>18706.45524167009</v>
      </c>
      <c r="K5" s="55">
        <f ca="1">EFEITO!$L$5*EFEITO!$Z$5</f>
        <v>35462.48987796063</v>
      </c>
      <c r="L5" s="55">
        <f>EFEITO!$N$5*EFEITO!$AA$5</f>
        <v>56682.412733645819</v>
      </c>
      <c r="M5" s="55">
        <f ca="1">$J$5-EFEITO!$K$5*EFEITO!$Y$5</f>
        <v>0</v>
      </c>
      <c r="N5" s="55">
        <f ca="1">$K$5-EFEITO!$M$5*EFEITO!$Z$5</f>
        <v>0</v>
      </c>
      <c r="O5" s="55">
        <f>$L$5-EFEITO!$O$5*EFEITO!$AA$5</f>
        <v>0</v>
      </c>
      <c r="P5" s="39"/>
      <c r="Q5" s="55" t="s">
        <v>633</v>
      </c>
      <c r="R5" s="55">
        <f>SUMIF($B$2:$B$418,$Q$5,$J$2:$J$418)</f>
        <v>0</v>
      </c>
      <c r="S5" s="55">
        <f>SUMIF($B$2:$B$418,$Q$5,$K$2:$K$418)</f>
        <v>0</v>
      </c>
      <c r="T5" s="55">
        <f>SUMIF($B$2:$B$418,$Q$5,$L$2:$L$418)</f>
        <v>0</v>
      </c>
      <c r="U5" s="55">
        <f>SUMIF($B$2:$B$418,$Q$5,$M$2:$M$418)</f>
        <v>0</v>
      </c>
      <c r="V5" s="55">
        <f>SUMIF($B$2:$B$418,$Q$5,$N$2:$N$418)</f>
        <v>0</v>
      </c>
      <c r="W5" s="55">
        <f>SUMIF($B$2:$B$418,$Q$5,$O$2:$O$418)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SUMIF(EFEITO!$B$2:$B$418,$Q$5,EFEITO!$AE$2:$AE$418)</f>
        <v>0</v>
      </c>
      <c r="AB5" s="36">
        <f>SUMIF(EFEITO!$B$2:$B$418,$Q$5,EFEITO!$AF$2:$AF$418)</f>
        <v>0</v>
      </c>
      <c r="AC5" s="36">
        <f>SUMIF(EFEITO!$B$2:$B$418,$Q$5,EFEITO!$AG$2:$AH$418)</f>
        <v>0</v>
      </c>
      <c r="AD5" s="36">
        <f>SUMIF(SUBSIDIO!$B$2:$B$418,$Q$5,SUBSIDIO!$AD$2:$AD$418)</f>
        <v>0</v>
      </c>
      <c r="AE5" s="36">
        <f>SUMIF(SUBSIDIO!$B$2:$B$418,$Q$5,SUBSIDIO!$AE$2:$AE$418)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21</v>
      </c>
      <c r="B6" s="35" t="s">
        <v>37</v>
      </c>
      <c r="C6" s="35" t="s">
        <v>41</v>
      </c>
      <c r="D6" s="35" t="s">
        <v>40</v>
      </c>
      <c r="E6" s="35" t="s">
        <v>25</v>
      </c>
      <c r="F6" s="35" t="s">
        <v>25</v>
      </c>
      <c r="G6" s="35" t="s">
        <v>25</v>
      </c>
      <c r="H6" s="35" t="s">
        <v>34</v>
      </c>
      <c r="I6" s="54">
        <v>44562</v>
      </c>
      <c r="J6" s="55">
        <f ca="1">EFEITO!$J$6*EFEITO!$Y$6</f>
        <v>18968.542180257413</v>
      </c>
      <c r="K6" s="55">
        <f ca="1">EFEITO!$L$6*EFEITO!$Z$6</f>
        <v>35295.035336572721</v>
      </c>
      <c r="L6" s="55">
        <f>EFEITO!$N$6*EFEITO!$AA$6</f>
        <v>56414.757319101111</v>
      </c>
      <c r="M6" s="55">
        <f ca="1">$J$6-EFEITO!$K$6*EFEITO!$Y$6</f>
        <v>0</v>
      </c>
      <c r="N6" s="55">
        <f ca="1">$K$6-EFEITO!$M$6*EFEITO!$Z$6</f>
        <v>0</v>
      </c>
      <c r="O6" s="55">
        <f>$L$6-EFEITO!$O$6*EFEITO!$AA$6</f>
        <v>0</v>
      </c>
      <c r="P6" s="39"/>
      <c r="Q6" s="55" t="s">
        <v>634</v>
      </c>
      <c r="R6" s="55">
        <f>SUMIF($B$2:$B$418,$Q$6,$J$2:$J$418)</f>
        <v>0</v>
      </c>
      <c r="S6" s="55">
        <f>SUMIF($B$2:$B$418,$Q$6,$K$2:$K$418)</f>
        <v>0</v>
      </c>
      <c r="T6" s="55">
        <f>SUMIF($B$2:$B$418,$Q$6,$L$2:$L$418)</f>
        <v>0</v>
      </c>
      <c r="U6" s="55">
        <f>SUMIF($B$2:$B$418,$Q$6,$M$2:$M$418)</f>
        <v>0</v>
      </c>
      <c r="V6" s="55">
        <f>SUMIF($B$2:$B$418,$Q$6,$N$2:$N$418)</f>
        <v>0</v>
      </c>
      <c r="W6" s="55">
        <f>SUMIF($B$2:$B$418,$Q$6,$O$2:$O$418)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SUMIF(EFEITO!$B$2:$B$418,$Q$6,EFEITO!$AE$2:$AE$418)</f>
        <v>0</v>
      </c>
      <c r="AB6" s="36">
        <f>SUMIF(EFEITO!$B$2:$B$418,$Q$6,EFEITO!$AF$2:$AF$418)</f>
        <v>0</v>
      </c>
      <c r="AC6" s="36">
        <f>SUMIF(EFEITO!$B$2:$B$418,$Q$6,EFEITO!$AG$2:$AH$418)</f>
        <v>0</v>
      </c>
      <c r="AD6" s="36">
        <f>SUMIF(SUBSIDIO!$B$2:$B$418,$Q$6,SUBSIDIO!$AD$2:$AD$418)</f>
        <v>0</v>
      </c>
      <c r="AE6" s="36">
        <f>SUMIF(SUBSIDIO!$B$2:$B$418,$Q$6,SUBSIDIO!$AE$2:$AE$418)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21</v>
      </c>
      <c r="B7" s="35" t="s">
        <v>37</v>
      </c>
      <c r="C7" s="35" t="s">
        <v>41</v>
      </c>
      <c r="D7" s="35" t="s">
        <v>40</v>
      </c>
      <c r="E7" s="35" t="s">
        <v>25</v>
      </c>
      <c r="F7" s="35" t="s">
        <v>25</v>
      </c>
      <c r="G7" s="35" t="s">
        <v>25</v>
      </c>
      <c r="H7" s="35" t="s">
        <v>34</v>
      </c>
      <c r="I7" s="54">
        <v>44593</v>
      </c>
      <c r="J7" s="55">
        <f ca="1">EFEITO!$J$7*EFEITO!$Y$7</f>
        <v>19328.91172081498</v>
      </c>
      <c r="K7" s="55">
        <f ca="1">EFEITO!$L$7*EFEITO!$Z$7</f>
        <v>32530.626907529673</v>
      </c>
      <c r="L7" s="55">
        <f>EFEITO!$N$7*EFEITO!$AA$7</f>
        <v>51996.191671888344</v>
      </c>
      <c r="M7" s="55">
        <f ca="1">$J$7-EFEITO!$K$7*EFEITO!$Y$7</f>
        <v>0</v>
      </c>
      <c r="N7" s="55">
        <f ca="1">$K$7-EFEITO!$M$7*EFEITO!$Z$7</f>
        <v>0</v>
      </c>
      <c r="O7" s="55">
        <f>$L$7-EFEITO!$O$7*EFEITO!$AA$7</f>
        <v>0</v>
      </c>
      <c r="P7" s="39"/>
      <c r="Q7" s="55" t="s">
        <v>37</v>
      </c>
      <c r="R7" s="55">
        <f ca="1">SUMIF($B$2:$B$418,$Q$7,$J$2:$J$418)</f>
        <v>1456465.0225127274</v>
      </c>
      <c r="S7" s="55">
        <f ca="1">SUMIF($B$2:$B$418,$Q$7,$K$2:$K$418)</f>
        <v>1245715.3519752235</v>
      </c>
      <c r="T7" s="55">
        <f>SUMIF($B$2:$B$418,$Q$7,$L$2:$L$418)</f>
        <v>1507259.6927522169</v>
      </c>
      <c r="U7" s="55">
        <f ca="1">SUMIF($B$2:$B$418,$Q$7,$M$2:$M$418)</f>
        <v>0</v>
      </c>
      <c r="V7" s="55">
        <f ca="1">SUMIF($B$2:$B$418,$Q$7,$N$2:$N$418)</f>
        <v>0</v>
      </c>
      <c r="W7" s="55">
        <f>SUMIF($B$2:$B$418,$Q$7,$O$2:$O$418)</f>
        <v>0</v>
      </c>
      <c r="X7" s="36">
        <f ca="1">$R$7-$U$7</f>
        <v>1456465.0225127274</v>
      </c>
      <c r="Y7" s="36">
        <f ca="1">$S$7-$V$7</f>
        <v>1245715.3519752235</v>
      </c>
      <c r="Z7" s="36">
        <f>$T$7-$W$7</f>
        <v>1507259.6927522169</v>
      </c>
      <c r="AA7" s="36">
        <f ca="1">SUMIF(EFEITO!$B$2:$B$418,$Q$7,EFEITO!$AE$2:$AE$418)</f>
        <v>1456465.0225127274</v>
      </c>
      <c r="AB7" s="36">
        <f ca="1">SUMIF(EFEITO!$B$2:$B$418,$Q$7,EFEITO!$AF$2:$AF$418)</f>
        <v>1245715.3519752235</v>
      </c>
      <c r="AC7" s="36">
        <f>SUMIF(EFEITO!$B$2:$B$418,$Q$7,EFEITO!$AG$2:$AH$418)</f>
        <v>1507259.6927522169</v>
      </c>
      <c r="AD7" s="36">
        <f>SUMIF(SUBSIDIO!$B$2:$B$418,$Q$7,SUBSIDIO!$AD$2:$AD$418)</f>
        <v>0</v>
      </c>
      <c r="AE7" s="36">
        <f>SUMIF(SUBSIDIO!$B$2:$B$418,$Q$7,SUBSIDIO!$AE$2:$AE$418)</f>
        <v>0</v>
      </c>
      <c r="AF7" s="36" t="str">
        <f ca="1">IF(ABS($X$7-$AA$7)&lt;0.01,"OK","ERRO")</f>
        <v>OK</v>
      </c>
      <c r="AG7" s="36" t="str">
        <f ca="1">IF(ABS($Y$7-$AB$7)&lt;0.01,"OK","ERRO")</f>
        <v>OK</v>
      </c>
      <c r="AH7" s="36" t="str">
        <f>IF(ABS($Z$7-$AC$7)&lt;0.01,"OK","ERRO")</f>
        <v>OK</v>
      </c>
      <c r="AI7" s="36" t="str">
        <f ca="1">IF(ABS($U$7-$AD$7)&lt;0.01,"OK","ERRO")</f>
        <v>OK</v>
      </c>
      <c r="AJ7" s="36" t="str">
        <f ca="1">IF(ABS(($V$7+$W$7)-$AE$7)&lt;0.01,"OK","ERRO")</f>
        <v>OK</v>
      </c>
    </row>
    <row r="8" spans="1:40" ht="11.25" customHeight="1" x14ac:dyDescent="0.2">
      <c r="A8" s="35" t="s">
        <v>21</v>
      </c>
      <c r="B8" s="35" t="s">
        <v>37</v>
      </c>
      <c r="C8" s="35" t="s">
        <v>41</v>
      </c>
      <c r="D8" s="35" t="s">
        <v>40</v>
      </c>
      <c r="E8" s="35" t="s">
        <v>25</v>
      </c>
      <c r="F8" s="35" t="s">
        <v>25</v>
      </c>
      <c r="G8" s="35" t="s">
        <v>25</v>
      </c>
      <c r="H8" s="35" t="s">
        <v>34</v>
      </c>
      <c r="I8" s="54">
        <v>44621</v>
      </c>
      <c r="J8" s="55">
        <f ca="1">EFEITO!$J$8*EFEITO!$Y$8</f>
        <v>17264.977079439821</v>
      </c>
      <c r="K8" s="55">
        <f ca="1">EFEITO!$L$8*EFEITO!$Z$8</f>
        <v>32174.329549997135</v>
      </c>
      <c r="L8" s="55">
        <f>EFEITO!$N$8*EFEITO!$AA$8</f>
        <v>51426.694325676399</v>
      </c>
      <c r="M8" s="55">
        <f ca="1">$J$8-EFEITO!$K$8*EFEITO!$Y$8</f>
        <v>0</v>
      </c>
      <c r="N8" s="55">
        <f ca="1">$K$8-EFEITO!$M$8*EFEITO!$Z$8</f>
        <v>0</v>
      </c>
      <c r="O8" s="55">
        <f>$L$8-EFEITO!$O$8*EFEITO!$AA$8</f>
        <v>0</v>
      </c>
      <c r="P8" s="39"/>
      <c r="Q8" s="55" t="s">
        <v>635</v>
      </c>
      <c r="R8" s="55">
        <f>SUMIF($B$2:$B$418,$Q$8,$J$2:$J$418)</f>
        <v>0</v>
      </c>
      <c r="S8" s="55">
        <f>SUMIF($B$2:$B$418,$Q$8,$K$2:$K$418)</f>
        <v>0</v>
      </c>
      <c r="T8" s="55">
        <f>SUMIF($B$2:$B$418,$Q$8,$L$2:$L$418)</f>
        <v>0</v>
      </c>
      <c r="U8" s="55">
        <f>SUMIF($B$2:$B$418,$Q$8,$M$2:$M$418)</f>
        <v>0</v>
      </c>
      <c r="V8" s="55">
        <f>SUMIF($B$2:$B$418,$Q$8,$N$2:$N$418)</f>
        <v>0</v>
      </c>
      <c r="W8" s="55">
        <f>SUMIF($B$2:$B$418,$Q$8,$O$2:$O$418)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SUMIF(EFEITO!$B$2:$B$418,$Q$8,EFEITO!$AE$2:$AE$418)</f>
        <v>0</v>
      </c>
      <c r="AB8" s="36">
        <f>SUMIF(EFEITO!$B$2:$B$418,$Q$8,EFEITO!$AF$2:$AF$418)</f>
        <v>0</v>
      </c>
      <c r="AC8" s="36">
        <f>SUMIF(EFEITO!$B$2:$B$418,$Q$8,EFEITO!$AG$2:$AH$418)</f>
        <v>0</v>
      </c>
      <c r="AD8" s="36">
        <f>SUMIF(SUBSIDIO!$B$2:$B$418,$Q$8,SUBSIDIO!$AD$2:$AD$418)</f>
        <v>0</v>
      </c>
      <c r="AE8" s="36">
        <f>SUMIF(SUBSIDIO!$B$2:$B$418,$Q$8,SUBSIDIO!$AE$2:$AE$418)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21</v>
      </c>
      <c r="B9" s="35" t="s">
        <v>37</v>
      </c>
      <c r="C9" s="35" t="s">
        <v>41</v>
      </c>
      <c r="D9" s="35" t="s">
        <v>40</v>
      </c>
      <c r="E9" s="35" t="s">
        <v>25</v>
      </c>
      <c r="F9" s="35" t="s">
        <v>25</v>
      </c>
      <c r="G9" s="35" t="s">
        <v>25</v>
      </c>
      <c r="H9" s="35" t="s">
        <v>34</v>
      </c>
      <c r="I9" s="54">
        <v>44652</v>
      </c>
      <c r="J9" s="55">
        <f ca="1">EFEITO!$J$9*EFEITO!$Y$9</f>
        <v>17264.977079439821</v>
      </c>
      <c r="K9" s="55">
        <f ca="1">EFEITO!$L$9*EFEITO!$Z$9</f>
        <v>29617.85688480836</v>
      </c>
      <c r="L9" s="55">
        <f>EFEITO!$N$9*EFEITO!$AA$9</f>
        <v>47340.488330293905</v>
      </c>
      <c r="M9" s="55">
        <f ca="1">$J$9-EFEITO!$K$9*EFEITO!$Y$9</f>
        <v>0</v>
      </c>
      <c r="N9" s="55">
        <f ca="1">$K$9-EFEITO!$M$9*EFEITO!$Z$9</f>
        <v>0</v>
      </c>
      <c r="O9" s="55">
        <f>$L$9-EFEITO!$O$9*EFEITO!$AA$9</f>
        <v>0</v>
      </c>
      <c r="P9" s="39"/>
      <c r="Q9" s="55" t="s">
        <v>22</v>
      </c>
      <c r="R9" s="55">
        <f>SUMIF($B$2:$B$418,$Q$9,$J$2:$J$418)</f>
        <v>0</v>
      </c>
      <c r="S9" s="55">
        <f ca="1">SUMIF($B$2:$B$418,$Q$9,$K$2:$K$418)</f>
        <v>8499129.2217709217</v>
      </c>
      <c r="T9" s="55">
        <f>SUMIF($B$2:$B$418,$Q$9,$L$2:$L$418)</f>
        <v>2747080.930270833</v>
      </c>
      <c r="U9" s="55">
        <f>SUMIF($B$2:$B$418,$Q$9,$M$2:$M$418)</f>
        <v>0</v>
      </c>
      <c r="V9" s="55">
        <f ca="1">SUMIF($B$2:$B$418,$Q$9,$N$2:$N$418)</f>
        <v>58834.383134032287</v>
      </c>
      <c r="W9" s="55">
        <f>SUMIF($B$2:$B$418,$Q$9,$O$2:$O$418)</f>
        <v>23758.624233174851</v>
      </c>
      <c r="X9" s="36">
        <f>$R$9-$U$9</f>
        <v>0</v>
      </c>
      <c r="Y9" s="36">
        <f ca="1">$S$9-$V$9</f>
        <v>8440294.8386368901</v>
      </c>
      <c r="Z9" s="36">
        <f>$T$9-$W$9</f>
        <v>2723322.3060376579</v>
      </c>
      <c r="AA9" s="36">
        <f>SUMIF(EFEITO!$B$2:$B$418,$Q$9,EFEITO!$AE$2:$AE$418)</f>
        <v>0</v>
      </c>
      <c r="AB9" s="36">
        <f ca="1">SUMIF(EFEITO!$B$2:$B$418,$Q$9,EFEITO!$AF$2:$AF$418)</f>
        <v>8440294.8386368919</v>
      </c>
      <c r="AC9" s="36">
        <f>SUMIF(EFEITO!$B$2:$B$418,$Q$9,EFEITO!$AG$2:$AH$418)</f>
        <v>2723322.3060376588</v>
      </c>
      <c r="AD9" s="36">
        <f>SUMIF(SUBSIDIO!$B$2:$B$418,$Q$9,SUBSIDIO!$AD$2:$AD$418)</f>
        <v>0</v>
      </c>
      <c r="AE9" s="36">
        <f ca="1">SUMIF(SUBSIDIO!$B$2:$B$418,$Q$9,SUBSIDIO!$AE$2:$AE$418)</f>
        <v>82593.007367207189</v>
      </c>
      <c r="AF9" s="36" t="str">
        <f>IF(ABS($X$9-$AA$9)&lt;0.01,"OK","ERRO")</f>
        <v>OK</v>
      </c>
      <c r="AG9" s="36" t="str">
        <f ca="1">IF(ABS($Y$9-$AB$9)&lt;0.01,"OK","ERRO")</f>
        <v>OK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OK</v>
      </c>
    </row>
    <row r="10" spans="1:40" ht="11.25" customHeight="1" x14ac:dyDescent="0.2">
      <c r="A10" s="35" t="s">
        <v>21</v>
      </c>
      <c r="B10" s="35" t="s">
        <v>37</v>
      </c>
      <c r="C10" s="35" t="s">
        <v>41</v>
      </c>
      <c r="D10" s="35" t="s">
        <v>40</v>
      </c>
      <c r="E10" s="35" t="s">
        <v>25</v>
      </c>
      <c r="F10" s="35" t="s">
        <v>25</v>
      </c>
      <c r="G10" s="35" t="s">
        <v>25</v>
      </c>
      <c r="H10" s="35" t="s">
        <v>34</v>
      </c>
      <c r="I10" s="54">
        <v>44682</v>
      </c>
      <c r="J10" s="55">
        <f ca="1">EFEITO!$J$10*EFEITO!$Y$10</f>
        <v>17264.977079439821</v>
      </c>
      <c r="K10" s="55">
        <f ca="1">EFEITO!$L$10*EFEITO!$Z$10</f>
        <v>31210.083524136033</v>
      </c>
      <c r="L10" s="55">
        <f>EFEITO!$N$10*EFEITO!$AA$10</f>
        <v>49885.466075693745</v>
      </c>
      <c r="M10" s="55">
        <f ca="1">$J$10-EFEITO!$K$10*EFEITO!$Y$10</f>
        <v>0</v>
      </c>
      <c r="N10" s="55">
        <f ca="1">$K$10-EFEITO!$M$10*EFEITO!$Z$10</f>
        <v>0</v>
      </c>
      <c r="O10" s="55">
        <f>$L$10-EFEITO!$O$10*EFEITO!$AA$10</f>
        <v>0</v>
      </c>
      <c r="P10" s="39"/>
      <c r="Q10" s="55" t="s">
        <v>43</v>
      </c>
      <c r="R10" s="55">
        <f>SUMIF($B$2:$B$418,$Q$10,$J$2:$J$418)</f>
        <v>0</v>
      </c>
      <c r="S10" s="55">
        <f ca="1">SUMIF($B$2:$B$418,$Q$10,$K$2:$K$418)</f>
        <v>10074002.994376948</v>
      </c>
      <c r="T10" s="55">
        <f>SUMIF($B$2:$B$418,$Q$10,$L$2:$L$418)</f>
        <v>3235324.4296399313</v>
      </c>
      <c r="U10" s="55">
        <f>SUMIF($B$2:$B$418,$Q$10,$M$2:$M$418)</f>
        <v>0</v>
      </c>
      <c r="V10" s="55">
        <f ca="1">SUMIF($B$2:$B$418,$Q$10,$N$2:$N$418)</f>
        <v>604440.17966261681</v>
      </c>
      <c r="W10" s="55">
        <f>SUMIF($B$2:$B$418,$Q$10,$O$2:$O$418)</f>
        <v>194119.46577839617</v>
      </c>
      <c r="X10" s="36">
        <f>$R$10-$U$10</f>
        <v>0</v>
      </c>
      <c r="Y10" s="36">
        <f ca="1">$S$10-$V$10</f>
        <v>9469562.8147143312</v>
      </c>
      <c r="Z10" s="36">
        <f>$T$10-$W$10</f>
        <v>3041204.9638615353</v>
      </c>
      <c r="AA10" s="36">
        <f>SUMIF(EFEITO!$B$2:$B$418,$Q$10,EFEITO!$AE$2:$AE$418)</f>
        <v>0</v>
      </c>
      <c r="AB10" s="36">
        <f ca="1">SUMIF(EFEITO!$B$2:$B$418,$Q$10,EFEITO!$AF$2:$AF$418)</f>
        <v>9469562.8147143256</v>
      </c>
      <c r="AC10" s="36">
        <f>SUMIF(EFEITO!$B$2:$B$418,$Q$10,EFEITO!$AG$2:$AH$418)</f>
        <v>3041204.9638615362</v>
      </c>
      <c r="AD10" s="36">
        <f>SUMIF(SUBSIDIO!$B$2:$B$418,$Q$10,SUBSIDIO!$AD$2:$AD$418)</f>
        <v>0</v>
      </c>
      <c r="AE10" s="36">
        <f ca="1">SUMIF(SUBSIDIO!$B$2:$B$418,$Q$10,SUBSIDIO!$AE$2:$AE$418)</f>
        <v>798559.64544101222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21</v>
      </c>
      <c r="B11" s="35" t="s">
        <v>37</v>
      </c>
      <c r="C11" s="35" t="s">
        <v>41</v>
      </c>
      <c r="D11" s="35" t="s">
        <v>40</v>
      </c>
      <c r="E11" s="35" t="s">
        <v>25</v>
      </c>
      <c r="F11" s="35" t="s">
        <v>25</v>
      </c>
      <c r="G11" s="35" t="s">
        <v>25</v>
      </c>
      <c r="H11" s="35" t="s">
        <v>34</v>
      </c>
      <c r="I11" s="54">
        <v>44713</v>
      </c>
      <c r="J11" s="55">
        <f ca="1">EFEITO!$J$11*EFEITO!$Y$11</f>
        <v>17363.259681410065</v>
      </c>
      <c r="K11" s="55">
        <f ca="1">EFEITO!$L$11*EFEITO!$Z$11</f>
        <v>31873.32870768927</v>
      </c>
      <c r="L11" s="55">
        <f>EFEITO!$N$11*EFEITO!$AA$11</f>
        <v>50945.58163348856</v>
      </c>
      <c r="M11" s="55">
        <f ca="1">$J$11-EFEITO!$K$11*EFEITO!$Y$11</f>
        <v>0</v>
      </c>
      <c r="N11" s="55">
        <f ca="1">$K$11-EFEITO!$M$11*EFEITO!$Z$11</f>
        <v>0</v>
      </c>
      <c r="O11" s="55">
        <f>$L$11-EFEITO!$O$11*EFEITO!$AA$11</f>
        <v>0</v>
      </c>
      <c r="P11" s="39"/>
      <c r="Q11" s="55" t="s">
        <v>35</v>
      </c>
      <c r="R11" s="55">
        <f>SUMIF($B$2:$B$418,$Q$11,$J$2:$J$418)</f>
        <v>0</v>
      </c>
      <c r="S11" s="55">
        <f ca="1">SUMIF($B$2:$B$418,$Q$11,$K$2:$K$418)</f>
        <v>1415153.9488657182</v>
      </c>
      <c r="T11" s="55">
        <f>SUMIF($B$2:$B$418,$Q$11,$L$2:$L$418)</f>
        <v>454447.20883225877</v>
      </c>
      <c r="U11" s="55">
        <f>SUMIF($B$2:$B$418,$Q$11,$M$2:$M$418)</f>
        <v>0</v>
      </c>
      <c r="V11" s="55">
        <f ca="1">SUMIF($B$2:$B$418,$Q$11,$N$2:$N$418)</f>
        <v>1006.0619056592309</v>
      </c>
      <c r="W11" s="55">
        <f>SUMIF($B$2:$B$418,$Q$11,$O$2:$O$418)</f>
        <v>323.10261004748941</v>
      </c>
      <c r="X11" s="36">
        <f>$R$11-$U$11</f>
        <v>0</v>
      </c>
      <c r="Y11" s="36">
        <f ca="1">$S$11-$V$11</f>
        <v>1414147.8869600589</v>
      </c>
      <c r="Z11" s="36">
        <f>$T$11-$W$11</f>
        <v>454124.10622221127</v>
      </c>
      <c r="AA11" s="36">
        <f>SUMIF(EFEITO!$B$2:$B$418,$Q$11,EFEITO!$AE$2:$AE$418)</f>
        <v>0</v>
      </c>
      <c r="AB11" s="36">
        <f ca="1">SUMIF(EFEITO!$B$2:$B$418,$Q$11,EFEITO!$AF$2:$AF$418)</f>
        <v>1414147.8869600589</v>
      </c>
      <c r="AC11" s="36">
        <f>SUMIF(EFEITO!$B$2:$B$418,$Q$11,EFEITO!$AG$2:$AH$418)</f>
        <v>454124.10622221127</v>
      </c>
      <c r="AD11" s="36">
        <f>SUMIF(SUBSIDIO!$B$2:$B$418,$Q$11,SUBSIDIO!$AD$2:$AD$418)</f>
        <v>0</v>
      </c>
      <c r="AE11" s="36">
        <f ca="1">SUMIF(SUBSIDIO!$B$2:$B$418,$Q$11,SUBSIDIO!$AE$2:$AE$418)</f>
        <v>1329.1645157067196</v>
      </c>
      <c r="AF11" s="36" t="str">
        <f>IF(ABS($X$11-$AA$11)&lt;0.01,"OK","ERRO")</f>
        <v>OK</v>
      </c>
      <c r="AG11" s="36" t="str">
        <f ca="1">IF(ABS($Y$11-$AB$11)&lt;0.01,"OK","ERRO")</f>
        <v>OK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OK</v>
      </c>
    </row>
    <row r="12" spans="1:40" ht="11.25" customHeight="1" x14ac:dyDescent="0.2">
      <c r="A12" s="35" t="s">
        <v>21</v>
      </c>
      <c r="B12" s="35" t="s">
        <v>37</v>
      </c>
      <c r="C12" s="35" t="s">
        <v>41</v>
      </c>
      <c r="D12" s="35" t="s">
        <v>40</v>
      </c>
      <c r="E12" s="35" t="s">
        <v>25</v>
      </c>
      <c r="F12" s="35" t="s">
        <v>25</v>
      </c>
      <c r="G12" s="35" t="s">
        <v>25</v>
      </c>
      <c r="H12" s="35" t="s">
        <v>34</v>
      </c>
      <c r="I12" s="54">
        <v>44743</v>
      </c>
      <c r="J12" s="55">
        <f ca="1">EFEITO!$J$12*EFEITO!$Y$12</f>
        <v>17789.150956614463</v>
      </c>
      <c r="K12" s="55">
        <f ca="1">EFEITO!$L$12*EFEITO!$Z$12</f>
        <v>31313.060242111027</v>
      </c>
      <c r="L12" s="55">
        <f>EFEITO!$N$12*EFEITO!$AA$12</f>
        <v>50050.061648376373</v>
      </c>
      <c r="M12" s="55">
        <f ca="1">$J$12-EFEITO!$K$12*EFEITO!$Y$12</f>
        <v>0</v>
      </c>
      <c r="N12" s="55">
        <f ca="1">$K$12-EFEITO!$M$12*EFEITO!$Z$12</f>
        <v>0</v>
      </c>
      <c r="O12" s="55">
        <f>$L$12-EFEITO!$O$12*EFEITO!$AA$12</f>
        <v>0</v>
      </c>
      <c r="P12" s="39"/>
      <c r="Q12" s="55" t="s">
        <v>46</v>
      </c>
      <c r="R12" s="55">
        <f>SUMIF($B$2:$B$418,$Q$12,$J$2:$J$418)</f>
        <v>0</v>
      </c>
      <c r="S12" s="55">
        <f ca="1">SUMIF($B$2:$B$418,$Q$12,$K$2:$K$418)</f>
        <v>1200962.7021324756</v>
      </c>
      <c r="T12" s="55">
        <f>SUMIF($B$2:$B$418,$Q$12,$L$2:$L$418)</f>
        <v>385696.13007504295</v>
      </c>
      <c r="U12" s="55">
        <f>SUMIF($B$2:$B$418,$Q$12,$M$2:$M$418)</f>
        <v>0</v>
      </c>
      <c r="V12" s="55">
        <f ca="1">SUMIF($B$2:$B$418,$Q$12,$N$2:$N$418)</f>
        <v>0</v>
      </c>
      <c r="W12" s="55">
        <f>SUMIF($B$2:$B$418,$Q$12,$O$2:$O$418)</f>
        <v>0</v>
      </c>
      <c r="X12" s="36">
        <f>$R$12-$U$12</f>
        <v>0</v>
      </c>
      <c r="Y12" s="36">
        <f ca="1">$S$12-$V$12</f>
        <v>1200962.7021324756</v>
      </c>
      <c r="Z12" s="36">
        <f>$T$12-$W$12</f>
        <v>385696.13007504295</v>
      </c>
      <c r="AA12" s="36">
        <f>SUMIF(EFEITO!$B$2:$B$418,$Q$12,EFEITO!$AE$2:$AE$418)</f>
        <v>0</v>
      </c>
      <c r="AB12" s="36">
        <f ca="1">SUMIF(EFEITO!$B$2:$B$418,$Q$12,EFEITO!$AF$2:$AF$418)</f>
        <v>1200962.7021324756</v>
      </c>
      <c r="AC12" s="36">
        <f>SUMIF(EFEITO!$B$2:$B$418,$Q$12,EFEITO!$AG$2:$AH$418)</f>
        <v>385696.13007504295</v>
      </c>
      <c r="AD12" s="36">
        <f>SUMIF(SUBSIDIO!$B$2:$B$418,$Q$12,SUBSIDIO!$AD$2:$AD$418)</f>
        <v>0</v>
      </c>
      <c r="AE12" s="36">
        <f>SUMIF(SUBSIDIO!$B$2:$B$418,$Q$12,SUBSIDIO!$AE$2:$AE$418)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21</v>
      </c>
      <c r="B13" s="35" t="s">
        <v>37</v>
      </c>
      <c r="C13" s="35" t="s">
        <v>41</v>
      </c>
      <c r="D13" s="35" t="s">
        <v>40</v>
      </c>
      <c r="E13" s="35" t="s">
        <v>25</v>
      </c>
      <c r="F13" s="35" t="s">
        <v>25</v>
      </c>
      <c r="G13" s="35" t="s">
        <v>25</v>
      </c>
      <c r="H13" s="35" t="s">
        <v>34</v>
      </c>
      <c r="I13" s="54">
        <v>44774</v>
      </c>
      <c r="J13" s="55">
        <f ca="1">EFEITO!$J$13*EFEITO!$Y$13</f>
        <v>17363.259681410065</v>
      </c>
      <c r="K13" s="55">
        <f ca="1">EFEITO!$L$13*EFEITO!$Z$13</f>
        <v>32553.058512762324</v>
      </c>
      <c r="L13" s="55">
        <f>EFEITO!$N$13*EFEITO!$AA$13</f>
        <v>52032.045823992463</v>
      </c>
      <c r="M13" s="55">
        <f ca="1">$J$13-EFEITO!$K$13*EFEITO!$Y$13</f>
        <v>0</v>
      </c>
      <c r="N13" s="55">
        <f ca="1">$K$13-EFEITO!$M$13*EFEITO!$Z$13</f>
        <v>0</v>
      </c>
      <c r="O13" s="55">
        <f>$L$13-EFEITO!$O$13*EFEITO!$AA$13</f>
        <v>0</v>
      </c>
      <c r="P13" s="39"/>
      <c r="Q13" s="55" t="s">
        <v>80</v>
      </c>
      <c r="R13" s="55">
        <f>SUMIF($B$2:$B$418,$Q$13,$J$2:$J$418)</f>
        <v>0</v>
      </c>
      <c r="S13" s="55">
        <f>SUMIF($B$2:$B$418,$Q$13,$K$2:$K$418)</f>
        <v>0</v>
      </c>
      <c r="T13" s="55">
        <f>SUMIF($B$2:$B$418,$Q$13,$L$2:$L$418)</f>
        <v>0</v>
      </c>
      <c r="U13" s="55">
        <f>SUMIF($B$2:$B$418,$Q$13,$M$2:$M$418)</f>
        <v>0</v>
      </c>
      <c r="V13" s="55">
        <f>SUMIF($B$2:$B$418,$Q$13,$N$2:$N$418)</f>
        <v>0</v>
      </c>
      <c r="W13" s="55">
        <f>SUMIF($B$2:$B$418,$Q$13,$O$2:$O$418)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SUMIF(EFEITO!$B$2:$B$418,$Q$13,EFEITO!$AE$2:$AE$418)</f>
        <v>0</v>
      </c>
      <c r="AB13" s="36">
        <f>SUMIF(EFEITO!$B$2:$B$418,$Q$13,EFEITO!$AF$2:$AF$418)</f>
        <v>0</v>
      </c>
      <c r="AC13" s="36">
        <f>SUMIF(EFEITO!$B$2:$B$418,$Q$13,EFEITO!$AG$2:$AH$418)</f>
        <v>0</v>
      </c>
      <c r="AD13" s="36">
        <f>SUMIF(SUBSIDIO!$B$2:$B$418,$Q$13,SUBSIDIO!$AD$2:$AD$418)</f>
        <v>0</v>
      </c>
      <c r="AE13" s="36">
        <f>SUMIF(SUBSIDIO!$B$2:$B$418,$Q$13,SUBSIDIO!$AE$2:$AE$418)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21</v>
      </c>
      <c r="B14" s="35" t="s">
        <v>37</v>
      </c>
      <c r="C14" s="35" t="s">
        <v>41</v>
      </c>
      <c r="D14" s="35" t="s">
        <v>40</v>
      </c>
      <c r="E14" s="35" t="s">
        <v>25</v>
      </c>
      <c r="F14" s="35" t="s">
        <v>25</v>
      </c>
      <c r="G14" s="35" t="s">
        <v>25</v>
      </c>
      <c r="H14" s="35" t="s">
        <v>39</v>
      </c>
      <c r="I14" s="54">
        <v>44440</v>
      </c>
      <c r="J14" s="55">
        <f ca="1">EFEITO!$J$14*EFEITO!$Y$14</f>
        <v>54907.496096389616</v>
      </c>
      <c r="K14" s="55">
        <f ca="1">EFEITO!$L$14*EFEITO!$Z$14</f>
        <v>3030.2490343118316</v>
      </c>
      <c r="L14" s="55">
        <f>EFEITO!$N$14*EFEITO!$AA$14</f>
        <v>4843.4790405211261</v>
      </c>
      <c r="M14" s="55">
        <f ca="1">$J$14-EFEITO!$K$14*EFEITO!$Y$14</f>
        <v>0</v>
      </c>
      <c r="N14" s="55">
        <f ca="1">$K$14-EFEITO!$M$14*EFEITO!$Z$14</f>
        <v>0</v>
      </c>
      <c r="O14" s="55">
        <f>$L$14-EFEITO!$O$14*EFEITO!$AA$14</f>
        <v>0</v>
      </c>
      <c r="P14" s="39"/>
      <c r="Q14" s="39"/>
      <c r="R14" s="39"/>
      <c r="S14" s="39"/>
      <c r="T14" s="39"/>
      <c r="U14" s="39"/>
      <c r="V14" s="39"/>
      <c r="W14" s="3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35" t="s">
        <v>21</v>
      </c>
      <c r="B15" s="35" t="s">
        <v>37</v>
      </c>
      <c r="C15" s="35" t="s">
        <v>41</v>
      </c>
      <c r="D15" s="35" t="s">
        <v>40</v>
      </c>
      <c r="E15" s="35" t="s">
        <v>25</v>
      </c>
      <c r="F15" s="35" t="s">
        <v>25</v>
      </c>
      <c r="G15" s="35" t="s">
        <v>25</v>
      </c>
      <c r="H15" s="35" t="s">
        <v>39</v>
      </c>
      <c r="I15" s="54">
        <v>44470</v>
      </c>
      <c r="J15" s="55">
        <f ca="1">EFEITO!$J$15*EFEITO!$Y$15</f>
        <v>53210.355307955753</v>
      </c>
      <c r="K15" s="55">
        <f ca="1">EFEITO!$L$15*EFEITO!$Z$15</f>
        <v>3022.9457209802713</v>
      </c>
      <c r="L15" s="55">
        <f>EFEITO!$N$15*EFEITO!$AA$15</f>
        <v>4831.8055956500175</v>
      </c>
      <c r="M15" s="55">
        <f ca="1">$J$15-EFEITO!$K$15*EFEITO!$Y$15</f>
        <v>0</v>
      </c>
      <c r="N15" s="55">
        <f ca="1">$K$15-EFEITO!$M$15*EFEITO!$Z$15</f>
        <v>0</v>
      </c>
      <c r="O15" s="55">
        <f>$L$15-EFEITO!$O$15*EFEITO!$AA$15</f>
        <v>0</v>
      </c>
      <c r="P15" s="39"/>
      <c r="Q15" s="39"/>
      <c r="R15" s="39"/>
      <c r="S15" s="39"/>
      <c r="T15" s="39"/>
      <c r="U15" s="39"/>
      <c r="V15" s="39"/>
      <c r="W15" s="39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35" t="s">
        <v>21</v>
      </c>
      <c r="B16" s="35" t="s">
        <v>37</v>
      </c>
      <c r="C16" s="35" t="s">
        <v>41</v>
      </c>
      <c r="D16" s="35" t="s">
        <v>40</v>
      </c>
      <c r="E16" s="35" t="s">
        <v>25</v>
      </c>
      <c r="F16" s="35" t="s">
        <v>25</v>
      </c>
      <c r="G16" s="35" t="s">
        <v>25</v>
      </c>
      <c r="H16" s="35" t="s">
        <v>39</v>
      </c>
      <c r="I16" s="54">
        <v>44501</v>
      </c>
      <c r="J16" s="55">
        <f ca="1">EFEITO!$J$16*EFEITO!$Y$16</f>
        <v>55406.655151811334</v>
      </c>
      <c r="K16" s="55">
        <f ca="1">EFEITO!$L$16*EFEITO!$Z$16</f>
        <v>3197.4949096045548</v>
      </c>
      <c r="L16" s="55">
        <f>EFEITO!$N$16*EFEITO!$AA$16</f>
        <v>5110.8009280695132</v>
      </c>
      <c r="M16" s="55">
        <f ca="1">$J$16-EFEITO!$K$16*EFEITO!$Y$16</f>
        <v>0</v>
      </c>
      <c r="N16" s="55">
        <f ca="1">$K$16-EFEITO!$M$16*EFEITO!$Z$16</f>
        <v>0</v>
      </c>
      <c r="O16" s="55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35" t="s">
        <v>21</v>
      </c>
      <c r="B17" s="35" t="s">
        <v>37</v>
      </c>
      <c r="C17" s="35" t="s">
        <v>41</v>
      </c>
      <c r="D17" s="35" t="s">
        <v>40</v>
      </c>
      <c r="E17" s="35" t="s">
        <v>25</v>
      </c>
      <c r="F17" s="35" t="s">
        <v>25</v>
      </c>
      <c r="G17" s="35" t="s">
        <v>25</v>
      </c>
      <c r="H17" s="35" t="s">
        <v>39</v>
      </c>
      <c r="I17" s="54">
        <v>44531</v>
      </c>
      <c r="J17" s="55">
        <f ca="1">EFEITO!$J$17*EFEITO!$Y$17</f>
        <v>54308.505229883544</v>
      </c>
      <c r="K17" s="55">
        <f ca="1">EFEITO!$L$17*EFEITO!$Z$17</f>
        <v>3536.8903134269067</v>
      </c>
      <c r="L17" s="55">
        <f>EFEITO!$N$17*EFEITO!$AA$17</f>
        <v>5653.2825875797471</v>
      </c>
      <c r="M17" s="55">
        <f ca="1">$J$17-EFEITO!$K$17*EFEITO!$Y$17</f>
        <v>0</v>
      </c>
      <c r="N17" s="55">
        <f ca="1">$K$17-EFEITO!$M$17*EFEITO!$Z$17</f>
        <v>0</v>
      </c>
      <c r="O17" s="55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35" t="s">
        <v>21</v>
      </c>
      <c r="B18" s="35" t="s">
        <v>37</v>
      </c>
      <c r="C18" s="35" t="s">
        <v>41</v>
      </c>
      <c r="D18" s="35" t="s">
        <v>40</v>
      </c>
      <c r="E18" s="35" t="s">
        <v>25</v>
      </c>
      <c r="F18" s="35" t="s">
        <v>25</v>
      </c>
      <c r="G18" s="35" t="s">
        <v>25</v>
      </c>
      <c r="H18" s="35" t="s">
        <v>39</v>
      </c>
      <c r="I18" s="54">
        <v>44562</v>
      </c>
      <c r="J18" s="55">
        <f ca="1">EFEITO!$J$18*EFEITO!$Y$18</f>
        <v>58002.282240004301</v>
      </c>
      <c r="K18" s="55">
        <f ca="1">EFEITO!$L$18*EFEITO!$Z$18</f>
        <v>3479.1941381075831</v>
      </c>
      <c r="L18" s="55">
        <f>EFEITO!$N$18*EFEITO!$AA$18</f>
        <v>5561.0623730979887</v>
      </c>
      <c r="M18" s="55">
        <f ca="1">$J$18-EFEITO!$K$18*EFEITO!$Y$18</f>
        <v>0</v>
      </c>
      <c r="N18" s="55">
        <f ca="1">$K$18-EFEITO!$M$18*EFEITO!$Z$18</f>
        <v>0</v>
      </c>
      <c r="O18" s="55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35" t="s">
        <v>21</v>
      </c>
      <c r="B19" s="35" t="s">
        <v>37</v>
      </c>
      <c r="C19" s="35" t="s">
        <v>41</v>
      </c>
      <c r="D19" s="35" t="s">
        <v>40</v>
      </c>
      <c r="E19" s="35" t="s">
        <v>25</v>
      </c>
      <c r="F19" s="35" t="s">
        <v>25</v>
      </c>
      <c r="G19" s="35" t="s">
        <v>25</v>
      </c>
      <c r="H19" s="35" t="s">
        <v>39</v>
      </c>
      <c r="I19" s="54">
        <v>44593</v>
      </c>
      <c r="J19" s="55">
        <f ca="1">EFEITO!$J$19*EFEITO!$Y$19</f>
        <v>58102.114051088647</v>
      </c>
      <c r="K19" s="55">
        <f ca="1">EFEITO!$L$19*EFEITO!$Z$19</f>
        <v>3233.4898110243867</v>
      </c>
      <c r="L19" s="55">
        <f>EFEITO!$N$19*EFEITO!$AA$19</f>
        <v>5168.3343349342631</v>
      </c>
      <c r="M19" s="55">
        <f ca="1">$J$19-EFEITO!$K$19*EFEITO!$Y$19</f>
        <v>0</v>
      </c>
      <c r="N19" s="55">
        <f ca="1">$K$19-EFEITO!$M$19*EFEITO!$Z$19</f>
        <v>0</v>
      </c>
      <c r="O19" s="55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35" t="s">
        <v>21</v>
      </c>
      <c r="B20" s="35" t="s">
        <v>37</v>
      </c>
      <c r="C20" s="35" t="s">
        <v>41</v>
      </c>
      <c r="D20" s="35" t="s">
        <v>40</v>
      </c>
      <c r="E20" s="35" t="s">
        <v>25</v>
      </c>
      <c r="F20" s="35" t="s">
        <v>25</v>
      </c>
      <c r="G20" s="35" t="s">
        <v>25</v>
      </c>
      <c r="H20" s="35" t="s">
        <v>39</v>
      </c>
      <c r="I20" s="54">
        <v>44621</v>
      </c>
      <c r="J20" s="55">
        <f ca="1">EFEITO!$J$20*EFEITO!$Y$20</f>
        <v>52611.364441449681</v>
      </c>
      <c r="K20" s="55">
        <f ca="1">EFEITO!$L$20*EFEITO!$Z$20</f>
        <v>3469.6998307765552</v>
      </c>
      <c r="L20" s="55">
        <f>EFEITO!$N$20*EFEITO!$AA$20</f>
        <v>5545.8868947655474</v>
      </c>
      <c r="M20" s="55">
        <f ca="1">$J$20-EFEITO!$K$20*EFEITO!$Y$20</f>
        <v>0</v>
      </c>
      <c r="N20" s="55">
        <f ca="1">$K$20-EFEITO!$M$20*EFEITO!$Z$20</f>
        <v>0</v>
      </c>
      <c r="O20" s="55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35" t="s">
        <v>21</v>
      </c>
      <c r="B21" s="35" t="s">
        <v>37</v>
      </c>
      <c r="C21" s="35" t="s">
        <v>41</v>
      </c>
      <c r="D21" s="35" t="s">
        <v>40</v>
      </c>
      <c r="E21" s="35" t="s">
        <v>25</v>
      </c>
      <c r="F21" s="35" t="s">
        <v>25</v>
      </c>
      <c r="G21" s="35" t="s">
        <v>25</v>
      </c>
      <c r="H21" s="35" t="s">
        <v>39</v>
      </c>
      <c r="I21" s="54">
        <v>44652</v>
      </c>
      <c r="J21" s="55">
        <f ca="1">EFEITO!$J$21*EFEITO!$Y$21</f>
        <v>52611.364441449681</v>
      </c>
      <c r="K21" s="55">
        <f ca="1">EFEITO!$L$21*EFEITO!$Z$21</f>
        <v>2702.121599629601</v>
      </c>
      <c r="L21" s="55">
        <f>EFEITO!$N$21*EFEITO!$AA$21</f>
        <v>4319.0078388120319</v>
      </c>
      <c r="M21" s="55">
        <f ca="1">$J$21-EFEITO!$K$21*EFEITO!$Y$21</f>
        <v>0</v>
      </c>
      <c r="N21" s="55">
        <f ca="1">$K$21-EFEITO!$M$21*EFEITO!$Z$21</f>
        <v>0</v>
      </c>
      <c r="O21" s="55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35" t="s">
        <v>21</v>
      </c>
      <c r="B22" s="35" t="s">
        <v>37</v>
      </c>
      <c r="C22" s="35" t="s">
        <v>41</v>
      </c>
      <c r="D22" s="35" t="s">
        <v>40</v>
      </c>
      <c r="E22" s="35" t="s">
        <v>25</v>
      </c>
      <c r="F22" s="35" t="s">
        <v>25</v>
      </c>
      <c r="G22" s="35" t="s">
        <v>25</v>
      </c>
      <c r="H22" s="35" t="s">
        <v>39</v>
      </c>
      <c r="I22" s="54">
        <v>44682</v>
      </c>
      <c r="J22" s="55">
        <f ca="1">EFEITO!$J$22*EFEITO!$Y$22</f>
        <v>53210.355307955753</v>
      </c>
      <c r="K22" s="55">
        <f ca="1">EFEITO!$L$22*EFEITO!$Z$22</f>
        <v>3036.4046841198606</v>
      </c>
      <c r="L22" s="55">
        <f>EFEITO!$N$22*EFEITO!$AA$22</f>
        <v>4853.318086912489</v>
      </c>
      <c r="M22" s="55">
        <f ca="1">$J$22-EFEITO!$K$22*EFEITO!$Y$22</f>
        <v>0</v>
      </c>
      <c r="N22" s="55">
        <f ca="1">$K$22-EFEITO!$M$22*EFEITO!$Z$22</f>
        <v>0</v>
      </c>
      <c r="O22" s="55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35" t="s">
        <v>21</v>
      </c>
      <c r="B23" s="35" t="s">
        <v>37</v>
      </c>
      <c r="C23" s="35" t="s">
        <v>41</v>
      </c>
      <c r="D23" s="35" t="s">
        <v>40</v>
      </c>
      <c r="E23" s="35" t="s">
        <v>25</v>
      </c>
      <c r="F23" s="35" t="s">
        <v>25</v>
      </c>
      <c r="G23" s="35" t="s">
        <v>25</v>
      </c>
      <c r="H23" s="35" t="s">
        <v>39</v>
      </c>
      <c r="I23" s="54">
        <v>44713</v>
      </c>
      <c r="J23" s="55">
        <f ca="1">EFEITO!$J$23*EFEITO!$Y$23</f>
        <v>52811.028063618374</v>
      </c>
      <c r="K23" s="55">
        <f ca="1">EFEITO!$L$23*EFEITO!$Z$23</f>
        <v>3345.2305049972547</v>
      </c>
      <c r="L23" s="55">
        <f>EFEITO!$N$23*EFEITO!$AA$23</f>
        <v>5346.9380414622256</v>
      </c>
      <c r="M23" s="55">
        <f ca="1">$J$23-EFEITO!$K$23*EFEITO!$Y$23</f>
        <v>0</v>
      </c>
      <c r="N23" s="55">
        <f ca="1">$K$23-EFEITO!$M$23*EFEITO!$Z$23</f>
        <v>0</v>
      </c>
      <c r="O23" s="55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35" t="s">
        <v>21</v>
      </c>
      <c r="B24" s="35" t="s">
        <v>37</v>
      </c>
      <c r="C24" s="35" t="s">
        <v>41</v>
      </c>
      <c r="D24" s="35" t="s">
        <v>40</v>
      </c>
      <c r="E24" s="35" t="s">
        <v>25</v>
      </c>
      <c r="F24" s="35" t="s">
        <v>25</v>
      </c>
      <c r="G24" s="35" t="s">
        <v>25</v>
      </c>
      <c r="H24" s="35" t="s">
        <v>39</v>
      </c>
      <c r="I24" s="54">
        <v>44743</v>
      </c>
      <c r="J24" s="55">
        <f ca="1">EFEITO!$J$24*EFEITO!$Y$24</f>
        <v>52811.028063618374</v>
      </c>
      <c r="K24" s="55">
        <f ca="1">EFEITO!$L$24*EFEITO!$Z$24</f>
        <v>3052.4719734492928</v>
      </c>
      <c r="L24" s="55">
        <f>EFEITO!$N$24*EFEITO!$AA$24</f>
        <v>4878.9996656289286</v>
      </c>
      <c r="M24" s="55">
        <f ca="1">$J$24-EFEITO!$K$24*EFEITO!$Y$24</f>
        <v>0</v>
      </c>
      <c r="N24" s="55">
        <f ca="1">$K$24-EFEITO!$M$24*EFEITO!$Z$24</f>
        <v>0</v>
      </c>
      <c r="O24" s="55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35" t="s">
        <v>21</v>
      </c>
      <c r="B25" s="35" t="s">
        <v>37</v>
      </c>
      <c r="C25" s="35" t="s">
        <v>41</v>
      </c>
      <c r="D25" s="35" t="s">
        <v>40</v>
      </c>
      <c r="E25" s="35" t="s">
        <v>25</v>
      </c>
      <c r="F25" s="35" t="s">
        <v>25</v>
      </c>
      <c r="G25" s="35" t="s">
        <v>25</v>
      </c>
      <c r="H25" s="35" t="s">
        <v>39</v>
      </c>
      <c r="I25" s="54">
        <v>44774</v>
      </c>
      <c r="J25" s="55">
        <f ca="1">EFEITO!$J$25*EFEITO!$Y$25</f>
        <v>53210.355307955753</v>
      </c>
      <c r="K25" s="55">
        <f ca="1">EFEITO!$L$25*EFEITO!$Z$25</f>
        <v>3668.3499533949862</v>
      </c>
      <c r="L25" s="55">
        <f>EFEITO!$N$25*EFEITO!$AA$25</f>
        <v>5863.4045952597016</v>
      </c>
      <c r="M25" s="55">
        <f ca="1">$J$25-EFEITO!$K$25*EFEITO!$Y$25</f>
        <v>0</v>
      </c>
      <c r="N25" s="55">
        <f ca="1">$K$25-EFEITO!$M$25*EFEITO!$Z$25</f>
        <v>0</v>
      </c>
      <c r="O25" s="55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35" t="s">
        <v>21</v>
      </c>
      <c r="B26" s="35" t="s">
        <v>37</v>
      </c>
      <c r="C26" s="35" t="s">
        <v>38</v>
      </c>
      <c r="D26" s="35" t="s">
        <v>40</v>
      </c>
      <c r="E26" s="35" t="s">
        <v>25</v>
      </c>
      <c r="F26" s="35" t="s">
        <v>25</v>
      </c>
      <c r="G26" s="35" t="s">
        <v>25</v>
      </c>
      <c r="H26" s="35" t="s">
        <v>34</v>
      </c>
      <c r="I26" s="54">
        <v>44440</v>
      </c>
      <c r="J26" s="55">
        <f>EFEITO!$J$26*EFEITO!$Y$26</f>
        <v>0</v>
      </c>
      <c r="K26" s="55">
        <f ca="1">EFEITO!$L$26*EFEITO!$Z$26</f>
        <v>36212.435824064247</v>
      </c>
      <c r="L26" s="55">
        <f>EFEITO!$N$26*EFEITO!$AA$26</f>
        <v>57881.108758410512</v>
      </c>
      <c r="M26" s="55">
        <f>$J$26-EFEITO!$K$26*EFEITO!$Y$26</f>
        <v>0</v>
      </c>
      <c r="N26" s="55">
        <f ca="1">$K$26-EFEITO!$M$26*EFEITO!$Z$26</f>
        <v>0</v>
      </c>
      <c r="O26" s="55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35" t="s">
        <v>21</v>
      </c>
      <c r="B27" s="35" t="s">
        <v>37</v>
      </c>
      <c r="C27" s="35" t="s">
        <v>38</v>
      </c>
      <c r="D27" s="35" t="s">
        <v>40</v>
      </c>
      <c r="E27" s="35" t="s">
        <v>25</v>
      </c>
      <c r="F27" s="35" t="s">
        <v>25</v>
      </c>
      <c r="G27" s="35" t="s">
        <v>25</v>
      </c>
      <c r="H27" s="35" t="s">
        <v>34</v>
      </c>
      <c r="I27" s="54">
        <v>44470</v>
      </c>
      <c r="J27" s="55">
        <f>EFEITO!$J$27*EFEITO!$Y$27</f>
        <v>0</v>
      </c>
      <c r="K27" s="55">
        <f ca="1">EFEITO!$L$27*EFEITO!$Z$27</f>
        <v>34245.54921082755</v>
      </c>
      <c r="L27" s="55">
        <f>EFEITO!$N$27*EFEITO!$AA$27</f>
        <v>54737.283291122803</v>
      </c>
      <c r="M27" s="55">
        <f>$J$27-EFEITO!$K$27*EFEITO!$Y$27</f>
        <v>0</v>
      </c>
      <c r="N27" s="55">
        <f ca="1">$K$27-EFEITO!$M$27*EFEITO!$Z$27</f>
        <v>0</v>
      </c>
      <c r="O27" s="55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35" t="s">
        <v>21</v>
      </c>
      <c r="B28" s="35" t="s">
        <v>37</v>
      </c>
      <c r="C28" s="35" t="s">
        <v>38</v>
      </c>
      <c r="D28" s="35" t="s">
        <v>40</v>
      </c>
      <c r="E28" s="35" t="s">
        <v>25</v>
      </c>
      <c r="F28" s="35" t="s">
        <v>25</v>
      </c>
      <c r="G28" s="35" t="s">
        <v>25</v>
      </c>
      <c r="H28" s="35" t="s">
        <v>34</v>
      </c>
      <c r="I28" s="54">
        <v>44501</v>
      </c>
      <c r="J28" s="55">
        <f>EFEITO!$J$28*EFEITO!$Y$28</f>
        <v>0</v>
      </c>
      <c r="K28" s="55">
        <f ca="1">EFEITO!$L$28*EFEITO!$Z$28</f>
        <v>35591.967190024428</v>
      </c>
      <c r="L28" s="55">
        <f>EFEITO!$N$28*EFEITO!$AA$28</f>
        <v>56889.366234860754</v>
      </c>
      <c r="M28" s="55">
        <f>$J$28-EFEITO!$K$28*EFEITO!$Y$28</f>
        <v>0</v>
      </c>
      <c r="N28" s="55">
        <f ca="1">$K$28-EFEITO!$M$28*EFEITO!$Z$28</f>
        <v>0</v>
      </c>
      <c r="O28" s="55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35" t="s">
        <v>21</v>
      </c>
      <c r="B29" s="35" t="s">
        <v>37</v>
      </c>
      <c r="C29" s="35" t="s">
        <v>38</v>
      </c>
      <c r="D29" s="35" t="s">
        <v>40</v>
      </c>
      <c r="E29" s="35" t="s">
        <v>25</v>
      </c>
      <c r="F29" s="35" t="s">
        <v>25</v>
      </c>
      <c r="G29" s="35" t="s">
        <v>25</v>
      </c>
      <c r="H29" s="35" t="s">
        <v>34</v>
      </c>
      <c r="I29" s="54">
        <v>44531</v>
      </c>
      <c r="J29" s="55">
        <f>EFEITO!$J$29*EFEITO!$Y$29</f>
        <v>0</v>
      </c>
      <c r="K29" s="55">
        <f ca="1">EFEITO!$L$29*EFEITO!$Z$29</f>
        <v>35583.411880121741</v>
      </c>
      <c r="L29" s="55">
        <f>EFEITO!$N$29*EFEITO!$AA$29</f>
        <v>56875.691628011744</v>
      </c>
      <c r="M29" s="55">
        <f>$J$29-EFEITO!$K$29*EFEITO!$Y$29</f>
        <v>0</v>
      </c>
      <c r="N29" s="55">
        <f ca="1">$K$29-EFEITO!$M$29*EFEITO!$Z$29</f>
        <v>0</v>
      </c>
      <c r="O29" s="55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35" t="s">
        <v>21</v>
      </c>
      <c r="B30" s="35" t="s">
        <v>37</v>
      </c>
      <c r="C30" s="35" t="s">
        <v>38</v>
      </c>
      <c r="D30" s="35" t="s">
        <v>40</v>
      </c>
      <c r="E30" s="35" t="s">
        <v>25</v>
      </c>
      <c r="F30" s="35" t="s">
        <v>25</v>
      </c>
      <c r="G30" s="35" t="s">
        <v>25</v>
      </c>
      <c r="H30" s="35" t="s">
        <v>34</v>
      </c>
      <c r="I30" s="54">
        <v>44562</v>
      </c>
      <c r="J30" s="55">
        <f>EFEITO!$J$30*EFEITO!$Y$30</f>
        <v>0</v>
      </c>
      <c r="K30" s="55">
        <f ca="1">EFEITO!$L$30*EFEITO!$Z$30</f>
        <v>31356.984455147984</v>
      </c>
      <c r="L30" s="55">
        <f>EFEITO!$N$30*EFEITO!$AA$30</f>
        <v>50120.269081101193</v>
      </c>
      <c r="M30" s="55">
        <f>$J$30-EFEITO!$K$30*EFEITO!$Y$30</f>
        <v>0</v>
      </c>
      <c r="N30" s="55">
        <f ca="1">$K$30-EFEITO!$M$30*EFEITO!$Z$30</f>
        <v>0</v>
      </c>
      <c r="O30" s="55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35" t="s">
        <v>21</v>
      </c>
      <c r="B31" s="35" t="s">
        <v>37</v>
      </c>
      <c r="C31" s="35" t="s">
        <v>38</v>
      </c>
      <c r="D31" s="35" t="s">
        <v>40</v>
      </c>
      <c r="E31" s="35" t="s">
        <v>25</v>
      </c>
      <c r="F31" s="35" t="s">
        <v>25</v>
      </c>
      <c r="G31" s="35" t="s">
        <v>25</v>
      </c>
      <c r="H31" s="35" t="s">
        <v>34</v>
      </c>
      <c r="I31" s="54">
        <v>44593</v>
      </c>
      <c r="J31" s="55">
        <f>EFEITO!$J$31*EFEITO!$Y$31</f>
        <v>0</v>
      </c>
      <c r="K31" s="55">
        <f ca="1">EFEITO!$L$31*EFEITO!$Z$31</f>
        <v>32193.839829897162</v>
      </c>
      <c r="L31" s="55">
        <f>EFEITO!$N$31*EFEITO!$AA$31</f>
        <v>51457.879099832076</v>
      </c>
      <c r="M31" s="55">
        <f>$J$31-EFEITO!$K$31*EFEITO!$Y$31</f>
        <v>0</v>
      </c>
      <c r="N31" s="55">
        <f ca="1">$K$31-EFEITO!$M$31*EFEITO!$Z$31</f>
        <v>0</v>
      </c>
      <c r="O31" s="55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35" t="s">
        <v>21</v>
      </c>
      <c r="B32" s="35" t="s">
        <v>37</v>
      </c>
      <c r="C32" s="35" t="s">
        <v>38</v>
      </c>
      <c r="D32" s="35" t="s">
        <v>40</v>
      </c>
      <c r="E32" s="35" t="s">
        <v>25</v>
      </c>
      <c r="F32" s="35" t="s">
        <v>25</v>
      </c>
      <c r="G32" s="35" t="s">
        <v>25</v>
      </c>
      <c r="H32" s="35" t="s">
        <v>34</v>
      </c>
      <c r="I32" s="54">
        <v>44621</v>
      </c>
      <c r="J32" s="55">
        <f>EFEITO!$J$32*EFEITO!$Y$32</f>
        <v>0</v>
      </c>
      <c r="K32" s="55">
        <f ca="1">EFEITO!$L$32*EFEITO!$Z$32</f>
        <v>35610.955804686484</v>
      </c>
      <c r="L32" s="55">
        <f>EFEITO!$N$32*EFEITO!$AA$32</f>
        <v>56919.71719152564</v>
      </c>
      <c r="M32" s="55">
        <f>$J$32-EFEITO!$K$32*EFEITO!$Y$32</f>
        <v>0</v>
      </c>
      <c r="N32" s="55">
        <f ca="1">$K$32-EFEITO!$M$32*EFEITO!$Z$32</f>
        <v>0</v>
      </c>
      <c r="O32" s="55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35" t="s">
        <v>21</v>
      </c>
      <c r="B33" s="35" t="s">
        <v>37</v>
      </c>
      <c r="C33" s="35" t="s">
        <v>38</v>
      </c>
      <c r="D33" s="35" t="s">
        <v>40</v>
      </c>
      <c r="E33" s="35" t="s">
        <v>25</v>
      </c>
      <c r="F33" s="35" t="s">
        <v>25</v>
      </c>
      <c r="G33" s="35" t="s">
        <v>25</v>
      </c>
      <c r="H33" s="35" t="s">
        <v>34</v>
      </c>
      <c r="I33" s="54">
        <v>44652</v>
      </c>
      <c r="J33" s="55">
        <f>EFEITO!$J$33*EFEITO!$Y$33</f>
        <v>0</v>
      </c>
      <c r="K33" s="55">
        <f ca="1">EFEITO!$L$33*EFEITO!$Z$33</f>
        <v>40695.731212213737</v>
      </c>
      <c r="L33" s="55">
        <f>EFEITO!$N$33*EFEITO!$AA$33</f>
        <v>65047.103037787776</v>
      </c>
      <c r="M33" s="55">
        <f>$J$33-EFEITO!$K$33*EFEITO!$Y$33</f>
        <v>0</v>
      </c>
      <c r="N33" s="55">
        <f ca="1">$K$33-EFEITO!$M$33*EFEITO!$Z$33</f>
        <v>0</v>
      </c>
      <c r="O33" s="55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35" t="s">
        <v>21</v>
      </c>
      <c r="B34" s="35" t="s">
        <v>37</v>
      </c>
      <c r="C34" s="35" t="s">
        <v>38</v>
      </c>
      <c r="D34" s="35" t="s">
        <v>40</v>
      </c>
      <c r="E34" s="35" t="s">
        <v>25</v>
      </c>
      <c r="F34" s="35" t="s">
        <v>25</v>
      </c>
      <c r="G34" s="35" t="s">
        <v>25</v>
      </c>
      <c r="H34" s="35" t="s">
        <v>34</v>
      </c>
      <c r="I34" s="54">
        <v>44682</v>
      </c>
      <c r="J34" s="55">
        <f>EFEITO!$J$34*EFEITO!$Y$34</f>
        <v>0</v>
      </c>
      <c r="K34" s="55">
        <f ca="1">EFEITO!$L$34*EFEITO!$Z$34</f>
        <v>42890.898533585481</v>
      </c>
      <c r="L34" s="55">
        <f>EFEITO!$N$34*EFEITO!$AA$34</f>
        <v>68555.807039046718</v>
      </c>
      <c r="M34" s="55">
        <f>$J$34-EFEITO!$K$34*EFEITO!$Y$34</f>
        <v>0</v>
      </c>
      <c r="N34" s="55">
        <f ca="1">$K$34-EFEITO!$M$34*EFEITO!$Z$34</f>
        <v>0</v>
      </c>
      <c r="O34" s="55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35" t="s">
        <v>27</v>
      </c>
      <c r="B35" s="35" t="s">
        <v>37</v>
      </c>
      <c r="C35" s="35" t="s">
        <v>38</v>
      </c>
      <c r="D35" s="35" t="s">
        <v>40</v>
      </c>
      <c r="E35" s="35" t="s">
        <v>25</v>
      </c>
      <c r="F35" s="35" t="s">
        <v>25</v>
      </c>
      <c r="G35" s="35" t="s">
        <v>25</v>
      </c>
      <c r="H35" s="35" t="s">
        <v>34</v>
      </c>
      <c r="I35" s="54">
        <v>44682</v>
      </c>
      <c r="J35" s="55">
        <f>EFEITO!$J$35*EFEITO!$Y$35</f>
        <v>0</v>
      </c>
      <c r="K35" s="55">
        <f ca="1">EFEITO!$L$35*EFEITO!$Z$35</f>
        <v>-2246.3948477402573</v>
      </c>
      <c r="L35" s="55">
        <f>EFEITO!$N$35*EFEITO!$AA$35</f>
        <v>-3590.5848788548533</v>
      </c>
      <c r="M35" s="55">
        <f>$J$35-EFEITO!$K$35*EFEITO!$Y$35</f>
        <v>0</v>
      </c>
      <c r="N35" s="55">
        <f ca="1">$K$35-EFEITO!$M$35*EFEITO!$Z$35</f>
        <v>0</v>
      </c>
      <c r="O35" s="55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35" t="s">
        <v>21</v>
      </c>
      <c r="B36" s="35" t="s">
        <v>37</v>
      </c>
      <c r="C36" s="35" t="s">
        <v>38</v>
      </c>
      <c r="D36" s="35" t="s">
        <v>40</v>
      </c>
      <c r="E36" s="35" t="s">
        <v>25</v>
      </c>
      <c r="F36" s="35" t="s">
        <v>25</v>
      </c>
      <c r="G36" s="35" t="s">
        <v>25</v>
      </c>
      <c r="H36" s="35" t="s">
        <v>34</v>
      </c>
      <c r="I36" s="54">
        <v>44713</v>
      </c>
      <c r="J36" s="55">
        <f>EFEITO!$J$36*EFEITO!$Y$36</f>
        <v>0</v>
      </c>
      <c r="K36" s="55">
        <f ca="1">EFEITO!$L$36*EFEITO!$Z$36</f>
        <v>35037.437042063837</v>
      </c>
      <c r="L36" s="55">
        <f>EFEITO!$N$36*EFEITO!$AA$36</f>
        <v>56003.018242147293</v>
      </c>
      <c r="M36" s="55">
        <f>$J$36-EFEITO!$K$36*EFEITO!$Y$36</f>
        <v>0</v>
      </c>
      <c r="N36" s="55">
        <f ca="1">$K$36-EFEITO!$M$36*EFEITO!$Z$36</f>
        <v>0</v>
      </c>
      <c r="O36" s="55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35" t="s">
        <v>21</v>
      </c>
      <c r="B37" s="35" t="s">
        <v>37</v>
      </c>
      <c r="C37" s="35" t="s">
        <v>38</v>
      </c>
      <c r="D37" s="35" t="s">
        <v>40</v>
      </c>
      <c r="E37" s="35" t="s">
        <v>25</v>
      </c>
      <c r="F37" s="35" t="s">
        <v>25</v>
      </c>
      <c r="G37" s="35" t="s">
        <v>25</v>
      </c>
      <c r="H37" s="35" t="s">
        <v>34</v>
      </c>
      <c r="I37" s="54">
        <v>44743</v>
      </c>
      <c r="J37" s="55">
        <f>EFEITO!$J$37*EFEITO!$Y$37</f>
        <v>0</v>
      </c>
      <c r="K37" s="55">
        <f ca="1">EFEITO!$L$37*EFEITO!$Z$37</f>
        <v>44730.707494853035</v>
      </c>
      <c r="L37" s="55">
        <f>EFEITO!$N$37*EFEITO!$AA$37</f>
        <v>71496.514565577134</v>
      </c>
      <c r="M37" s="55">
        <f>$J$37-EFEITO!$K$37*EFEITO!$Y$37</f>
        <v>0</v>
      </c>
      <c r="N37" s="55">
        <f ca="1">$K$37-EFEITO!$M$37*EFEITO!$Z$37</f>
        <v>0</v>
      </c>
      <c r="O37" s="55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35" t="s">
        <v>21</v>
      </c>
      <c r="B38" s="35" t="s">
        <v>37</v>
      </c>
      <c r="C38" s="35" t="s">
        <v>38</v>
      </c>
      <c r="D38" s="35" t="s">
        <v>40</v>
      </c>
      <c r="E38" s="35" t="s">
        <v>25</v>
      </c>
      <c r="F38" s="35" t="s">
        <v>25</v>
      </c>
      <c r="G38" s="35" t="s">
        <v>25</v>
      </c>
      <c r="H38" s="35" t="s">
        <v>34</v>
      </c>
      <c r="I38" s="54">
        <v>44774</v>
      </c>
      <c r="J38" s="55">
        <f>EFEITO!$J$38*EFEITO!$Y$38</f>
        <v>0</v>
      </c>
      <c r="K38" s="55">
        <f ca="1">EFEITO!$L$38*EFEITO!$Z$38</f>
        <v>42974.573637755639</v>
      </c>
      <c r="L38" s="55">
        <f>EFEITO!$N$38*EFEITO!$AA$38</f>
        <v>68689.551364569998</v>
      </c>
      <c r="M38" s="55">
        <f>$J$38-EFEITO!$K$38*EFEITO!$Y$38</f>
        <v>0</v>
      </c>
      <c r="N38" s="55">
        <f ca="1">$K$38-EFEITO!$M$38*EFEITO!$Z$38</f>
        <v>0</v>
      </c>
      <c r="O38" s="55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35" t="s">
        <v>21</v>
      </c>
      <c r="B39" s="35" t="s">
        <v>37</v>
      </c>
      <c r="C39" s="35" t="s">
        <v>38</v>
      </c>
      <c r="D39" s="35" t="s">
        <v>40</v>
      </c>
      <c r="E39" s="35" t="s">
        <v>25</v>
      </c>
      <c r="F39" s="35" t="s">
        <v>25</v>
      </c>
      <c r="G39" s="35" t="s">
        <v>25</v>
      </c>
      <c r="H39" s="35" t="s">
        <v>25</v>
      </c>
      <c r="I39" s="54">
        <v>44440</v>
      </c>
      <c r="J39" s="55">
        <f ca="1">EFEITO!$J$39*EFEITO!$Y$39</f>
        <v>36299.040994344061</v>
      </c>
      <c r="K39" s="55">
        <f>EFEITO!$L$39*EFEITO!$Z$39</f>
        <v>0</v>
      </c>
      <c r="L39" s="55">
        <f>EFEITO!$N$39*EFEITO!$AA$39</f>
        <v>0</v>
      </c>
      <c r="M39" s="55">
        <f ca="1">$J$39-EFEITO!$K$39*EFEITO!$Y$39</f>
        <v>0</v>
      </c>
      <c r="N39" s="55">
        <f>$K$39-EFEITO!$M$39*EFEITO!$Z$39</f>
        <v>0</v>
      </c>
      <c r="O39" s="55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35" t="s">
        <v>21</v>
      </c>
      <c r="B40" s="35" t="s">
        <v>37</v>
      </c>
      <c r="C40" s="35" t="s">
        <v>38</v>
      </c>
      <c r="D40" s="35" t="s">
        <v>40</v>
      </c>
      <c r="E40" s="35" t="s">
        <v>25</v>
      </c>
      <c r="F40" s="35" t="s">
        <v>25</v>
      </c>
      <c r="G40" s="35" t="s">
        <v>25</v>
      </c>
      <c r="H40" s="35" t="s">
        <v>25</v>
      </c>
      <c r="I40" s="54">
        <v>44470</v>
      </c>
      <c r="J40" s="55">
        <f ca="1">EFEITO!$J$40*EFEITO!$Y$40</f>
        <v>36299.040994344061</v>
      </c>
      <c r="K40" s="55">
        <f>EFEITO!$L$40*EFEITO!$Z$40</f>
        <v>0</v>
      </c>
      <c r="L40" s="55">
        <f>EFEITO!$N$40*EFEITO!$AA$40</f>
        <v>0</v>
      </c>
      <c r="M40" s="55">
        <f ca="1">$J$40-EFEITO!$K$40*EFEITO!$Y$40</f>
        <v>0</v>
      </c>
      <c r="N40" s="55">
        <f>$K$40-EFEITO!$M$40*EFEITO!$Z$40</f>
        <v>0</v>
      </c>
      <c r="O40" s="55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35" t="s">
        <v>21</v>
      </c>
      <c r="B41" s="35" t="s">
        <v>37</v>
      </c>
      <c r="C41" s="35" t="s">
        <v>38</v>
      </c>
      <c r="D41" s="35" t="s">
        <v>40</v>
      </c>
      <c r="E41" s="35" t="s">
        <v>25</v>
      </c>
      <c r="F41" s="35" t="s">
        <v>25</v>
      </c>
      <c r="G41" s="35" t="s">
        <v>25</v>
      </c>
      <c r="H41" s="35" t="s">
        <v>25</v>
      </c>
      <c r="I41" s="54">
        <v>44501</v>
      </c>
      <c r="J41" s="55">
        <f ca="1">EFEITO!$J$41*EFEITO!$Y$41</f>
        <v>37052.540942782616</v>
      </c>
      <c r="K41" s="55">
        <f>EFEITO!$L$41*EFEITO!$Z$41</f>
        <v>0</v>
      </c>
      <c r="L41" s="55">
        <f>EFEITO!$N$41*EFEITO!$AA$41</f>
        <v>0</v>
      </c>
      <c r="M41" s="55">
        <f ca="1">$J$41-EFEITO!$K$41*EFEITO!$Y$41</f>
        <v>0</v>
      </c>
      <c r="N41" s="55">
        <f>$K$41-EFEITO!$M$41*EFEITO!$Z$41</f>
        <v>0</v>
      </c>
      <c r="O41" s="55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35" t="s">
        <v>21</v>
      </c>
      <c r="B42" s="35" t="s">
        <v>37</v>
      </c>
      <c r="C42" s="35" t="s">
        <v>38</v>
      </c>
      <c r="D42" s="35" t="s">
        <v>40</v>
      </c>
      <c r="E42" s="35" t="s">
        <v>25</v>
      </c>
      <c r="F42" s="35" t="s">
        <v>25</v>
      </c>
      <c r="G42" s="35" t="s">
        <v>25</v>
      </c>
      <c r="H42" s="35" t="s">
        <v>25</v>
      </c>
      <c r="I42" s="54">
        <v>44531</v>
      </c>
      <c r="J42" s="55">
        <f ca="1">EFEITO!$J$42*EFEITO!$Y$42</f>
        <v>38592.301706983126</v>
      </c>
      <c r="K42" s="55">
        <f>EFEITO!$L$42*EFEITO!$Z$42</f>
        <v>0</v>
      </c>
      <c r="L42" s="55">
        <f>EFEITO!$N$42*EFEITO!$AA$42</f>
        <v>0</v>
      </c>
      <c r="M42" s="55">
        <f ca="1">$J$42-EFEITO!$K$42*EFEITO!$Y$42</f>
        <v>0</v>
      </c>
      <c r="N42" s="55">
        <f>$K$42-EFEITO!$M$42*EFEITO!$Z$42</f>
        <v>0</v>
      </c>
      <c r="O42" s="55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35" t="s">
        <v>21</v>
      </c>
      <c r="B43" s="35" t="s">
        <v>37</v>
      </c>
      <c r="C43" s="35" t="s">
        <v>38</v>
      </c>
      <c r="D43" s="35" t="s">
        <v>40</v>
      </c>
      <c r="E43" s="35" t="s">
        <v>25</v>
      </c>
      <c r="F43" s="35" t="s">
        <v>25</v>
      </c>
      <c r="G43" s="35" t="s">
        <v>25</v>
      </c>
      <c r="H43" s="35" t="s">
        <v>25</v>
      </c>
      <c r="I43" s="54">
        <v>44562</v>
      </c>
      <c r="J43" s="55">
        <f ca="1">EFEITO!$J$43*EFEITO!$Y$43</f>
        <v>36790.454004195293</v>
      </c>
      <c r="K43" s="55">
        <f>EFEITO!$L$43*EFEITO!$Z$43</f>
        <v>0</v>
      </c>
      <c r="L43" s="55">
        <f>EFEITO!$N$43*EFEITO!$AA$43</f>
        <v>0</v>
      </c>
      <c r="M43" s="55">
        <f ca="1">$J$43-EFEITO!$K$43*EFEITO!$Y$43</f>
        <v>0</v>
      </c>
      <c r="N43" s="55">
        <f>$K$43-EFEITO!$M$43*EFEITO!$Z$43</f>
        <v>0</v>
      </c>
      <c r="O43" s="55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35" t="s">
        <v>21</v>
      </c>
      <c r="B44" s="35" t="s">
        <v>37</v>
      </c>
      <c r="C44" s="35" t="s">
        <v>38</v>
      </c>
      <c r="D44" s="35" t="s">
        <v>40</v>
      </c>
      <c r="E44" s="35" t="s">
        <v>25</v>
      </c>
      <c r="F44" s="35" t="s">
        <v>25</v>
      </c>
      <c r="G44" s="35" t="s">
        <v>25</v>
      </c>
      <c r="H44" s="35" t="s">
        <v>25</v>
      </c>
      <c r="I44" s="54">
        <v>44593</v>
      </c>
      <c r="J44" s="55">
        <f ca="1">EFEITO!$J$44*EFEITO!$Y$44</f>
        <v>37445.671350663593</v>
      </c>
      <c r="K44" s="55">
        <f>EFEITO!$L$44*EFEITO!$Z$44</f>
        <v>0</v>
      </c>
      <c r="L44" s="55">
        <f>EFEITO!$N$44*EFEITO!$AA$44</f>
        <v>0</v>
      </c>
      <c r="M44" s="55">
        <f ca="1">$J$44-EFEITO!$K$44*EFEITO!$Y$44</f>
        <v>0</v>
      </c>
      <c r="N44" s="55">
        <f>$K$44-EFEITO!$M$44*EFEITO!$Z$44</f>
        <v>0</v>
      </c>
      <c r="O44" s="55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35" t="s">
        <v>21</v>
      </c>
      <c r="B45" s="35" t="s">
        <v>37</v>
      </c>
      <c r="C45" s="35" t="s">
        <v>38</v>
      </c>
      <c r="D45" s="35" t="s">
        <v>40</v>
      </c>
      <c r="E45" s="35" t="s">
        <v>25</v>
      </c>
      <c r="F45" s="35" t="s">
        <v>25</v>
      </c>
      <c r="G45" s="35" t="s">
        <v>25</v>
      </c>
      <c r="H45" s="35" t="s">
        <v>25</v>
      </c>
      <c r="I45" s="54">
        <v>44621</v>
      </c>
      <c r="J45" s="55">
        <f ca="1">EFEITO!$J$45*EFEITO!$Y$45</f>
        <v>36757.693136871872</v>
      </c>
      <c r="K45" s="55">
        <f>EFEITO!$L$45*EFEITO!$Z$45</f>
        <v>0</v>
      </c>
      <c r="L45" s="55">
        <f>EFEITO!$N$45*EFEITO!$AA$45</f>
        <v>0</v>
      </c>
      <c r="M45" s="55">
        <f ca="1">$J$45-EFEITO!$K$45*EFEITO!$Y$45</f>
        <v>0</v>
      </c>
      <c r="N45" s="55">
        <f>$K$45-EFEITO!$M$45*EFEITO!$Z$45</f>
        <v>0</v>
      </c>
      <c r="O45" s="55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35" t="s">
        <v>21</v>
      </c>
      <c r="B46" s="35" t="s">
        <v>37</v>
      </c>
      <c r="C46" s="35" t="s">
        <v>38</v>
      </c>
      <c r="D46" s="35" t="s">
        <v>40</v>
      </c>
      <c r="E46" s="35" t="s">
        <v>25</v>
      </c>
      <c r="F46" s="35" t="s">
        <v>25</v>
      </c>
      <c r="G46" s="35" t="s">
        <v>25</v>
      </c>
      <c r="H46" s="35" t="s">
        <v>25</v>
      </c>
      <c r="I46" s="54">
        <v>44652</v>
      </c>
      <c r="J46" s="55">
        <f ca="1">EFEITO!$J$46*EFEITO!$Y$46</f>
        <v>38199.171299102149</v>
      </c>
      <c r="K46" s="55">
        <f>EFEITO!$L$46*EFEITO!$Z$46</f>
        <v>0</v>
      </c>
      <c r="L46" s="55">
        <f>EFEITO!$N$46*EFEITO!$AA$46</f>
        <v>0</v>
      </c>
      <c r="M46" s="55">
        <f ca="1">$J$46-EFEITO!$K$46*EFEITO!$Y$46</f>
        <v>0</v>
      </c>
      <c r="N46" s="55">
        <f>$K$46-EFEITO!$M$46*EFEITO!$Z$46</f>
        <v>0</v>
      </c>
      <c r="O46" s="55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35" t="s">
        <v>21</v>
      </c>
      <c r="B47" s="35" t="s">
        <v>37</v>
      </c>
      <c r="C47" s="35" t="s">
        <v>38</v>
      </c>
      <c r="D47" s="35" t="s">
        <v>40</v>
      </c>
      <c r="E47" s="35" t="s">
        <v>25</v>
      </c>
      <c r="F47" s="35" t="s">
        <v>25</v>
      </c>
      <c r="G47" s="35" t="s">
        <v>25</v>
      </c>
      <c r="H47" s="35" t="s">
        <v>25</v>
      </c>
      <c r="I47" s="54">
        <v>44682</v>
      </c>
      <c r="J47" s="55">
        <f ca="1">EFEITO!$J$47*EFEITO!$Y$47</f>
        <v>50124.127004825285</v>
      </c>
      <c r="K47" s="55">
        <f>EFEITO!$L$47*EFEITO!$Z$47</f>
        <v>0</v>
      </c>
      <c r="L47" s="55">
        <f>EFEITO!$N$47*EFEITO!$AA$47</f>
        <v>0</v>
      </c>
      <c r="M47" s="55">
        <f ca="1">$J$47-EFEITO!$K$47*EFEITO!$Y$47</f>
        <v>0</v>
      </c>
      <c r="N47" s="55">
        <f>$K$47-EFEITO!$M$47*EFEITO!$Z$47</f>
        <v>0</v>
      </c>
      <c r="O47" s="55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35" t="s">
        <v>27</v>
      </c>
      <c r="B48" s="35" t="s">
        <v>37</v>
      </c>
      <c r="C48" s="35" t="s">
        <v>38</v>
      </c>
      <c r="D48" s="35" t="s">
        <v>40</v>
      </c>
      <c r="E48" s="35" t="s">
        <v>25</v>
      </c>
      <c r="F48" s="35" t="s">
        <v>25</v>
      </c>
      <c r="G48" s="35" t="s">
        <v>25</v>
      </c>
      <c r="H48" s="35" t="s">
        <v>25</v>
      </c>
      <c r="I48" s="54">
        <v>44682</v>
      </c>
      <c r="J48" s="55">
        <f ca="1">EFEITO!$J$48*EFEITO!$Y$48</f>
        <v>-5798.6735162444938</v>
      </c>
      <c r="K48" s="55">
        <f>EFEITO!$L$48*EFEITO!$Z$48</f>
        <v>0</v>
      </c>
      <c r="L48" s="55">
        <f>EFEITO!$N$48*EFEITO!$AA$48</f>
        <v>0</v>
      </c>
      <c r="M48" s="55">
        <f ca="1">$J$48-EFEITO!$K$48*EFEITO!$Y$48</f>
        <v>0</v>
      </c>
      <c r="N48" s="55">
        <f>$K$48-EFEITO!$M$48*EFEITO!$Z$48</f>
        <v>0</v>
      </c>
      <c r="O48" s="55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35" t="s">
        <v>21</v>
      </c>
      <c r="B49" s="35" t="s">
        <v>37</v>
      </c>
      <c r="C49" s="35" t="s">
        <v>38</v>
      </c>
      <c r="D49" s="35" t="s">
        <v>40</v>
      </c>
      <c r="E49" s="35" t="s">
        <v>25</v>
      </c>
      <c r="F49" s="35" t="s">
        <v>25</v>
      </c>
      <c r="G49" s="35" t="s">
        <v>25</v>
      </c>
      <c r="H49" s="35" t="s">
        <v>25</v>
      </c>
      <c r="I49" s="54">
        <v>44713</v>
      </c>
      <c r="J49" s="55">
        <f ca="1">EFEITO!$J$49*EFEITO!$Y$49</f>
        <v>37609.475687280668</v>
      </c>
      <c r="K49" s="55">
        <f>EFEITO!$L$49*EFEITO!$Z$49</f>
        <v>0</v>
      </c>
      <c r="L49" s="55">
        <f>EFEITO!$N$49*EFEITO!$AA$49</f>
        <v>0</v>
      </c>
      <c r="M49" s="55">
        <f ca="1">$J$49-EFEITO!$K$49*EFEITO!$Y$49</f>
        <v>0</v>
      </c>
      <c r="N49" s="55">
        <f>$K$49-EFEITO!$M$49*EFEITO!$Z$49</f>
        <v>0</v>
      </c>
      <c r="O49" s="55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35" t="s">
        <v>21</v>
      </c>
      <c r="B50" s="35" t="s">
        <v>37</v>
      </c>
      <c r="C50" s="35" t="s">
        <v>38</v>
      </c>
      <c r="D50" s="35" t="s">
        <v>40</v>
      </c>
      <c r="E50" s="35" t="s">
        <v>25</v>
      </c>
      <c r="F50" s="35" t="s">
        <v>25</v>
      </c>
      <c r="G50" s="35" t="s">
        <v>25</v>
      </c>
      <c r="H50" s="35" t="s">
        <v>25</v>
      </c>
      <c r="I50" s="54">
        <v>44743</v>
      </c>
      <c r="J50" s="55">
        <f ca="1">EFEITO!$J$50*EFEITO!$Y$50</f>
        <v>41376.975429473423</v>
      </c>
      <c r="K50" s="55">
        <f>EFEITO!$L$50*EFEITO!$Z$50</f>
        <v>0</v>
      </c>
      <c r="L50" s="55">
        <f>EFEITO!$N$50*EFEITO!$AA$50</f>
        <v>0</v>
      </c>
      <c r="M50" s="55">
        <f ca="1">$J$50-EFEITO!$K$50*EFEITO!$Y$50</f>
        <v>0</v>
      </c>
      <c r="N50" s="55">
        <f>$K$50-EFEITO!$M$50*EFEITO!$Z$50</f>
        <v>0</v>
      </c>
      <c r="O50" s="55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35" t="s">
        <v>21</v>
      </c>
      <c r="B51" s="35" t="s">
        <v>37</v>
      </c>
      <c r="C51" s="35" t="s">
        <v>38</v>
      </c>
      <c r="D51" s="35" t="s">
        <v>40</v>
      </c>
      <c r="E51" s="35" t="s">
        <v>25</v>
      </c>
      <c r="F51" s="35" t="s">
        <v>25</v>
      </c>
      <c r="G51" s="35" t="s">
        <v>25</v>
      </c>
      <c r="H51" s="35" t="s">
        <v>25</v>
      </c>
      <c r="I51" s="54">
        <v>44774</v>
      </c>
      <c r="J51" s="55">
        <f ca="1">EFEITO!$J$51*EFEITO!$Y$51</f>
        <v>39181.997318804599</v>
      </c>
      <c r="K51" s="55">
        <f>EFEITO!$L$51*EFEITO!$Z$51</f>
        <v>0</v>
      </c>
      <c r="L51" s="55">
        <f>EFEITO!$N$51*EFEITO!$AA$51</f>
        <v>0</v>
      </c>
      <c r="M51" s="55">
        <f ca="1">$J$51-EFEITO!$K$51*EFEITO!$Y$51</f>
        <v>0</v>
      </c>
      <c r="N51" s="55">
        <f>$K$51-EFEITO!$M$51*EFEITO!$Z$51</f>
        <v>0</v>
      </c>
      <c r="O51" s="55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35" t="s">
        <v>21</v>
      </c>
      <c r="B52" s="35" t="s">
        <v>37</v>
      </c>
      <c r="C52" s="35" t="s">
        <v>38</v>
      </c>
      <c r="D52" s="35" t="s">
        <v>40</v>
      </c>
      <c r="E52" s="35" t="s">
        <v>25</v>
      </c>
      <c r="F52" s="35" t="s">
        <v>25</v>
      </c>
      <c r="G52" s="35" t="s">
        <v>25</v>
      </c>
      <c r="H52" s="35" t="s">
        <v>39</v>
      </c>
      <c r="I52" s="54">
        <v>44440</v>
      </c>
      <c r="J52" s="55">
        <f>EFEITO!$J$52*EFEITO!$Y$52</f>
        <v>0</v>
      </c>
      <c r="K52" s="55">
        <f ca="1">EFEITO!$L$52*EFEITO!$Z$52</f>
        <v>34999.098397069938</v>
      </c>
      <c r="L52" s="55">
        <f>EFEITO!$N$52*EFEITO!$AA$52</f>
        <v>2329.352542280646</v>
      </c>
      <c r="M52" s="55">
        <f>$J$52-EFEITO!$K$52*EFEITO!$Y$52</f>
        <v>0</v>
      </c>
      <c r="N52" s="55">
        <f ca="1">$K$52-EFEITO!$M$52*EFEITO!$Z$52</f>
        <v>0</v>
      </c>
      <c r="O52" s="55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35" t="s">
        <v>21</v>
      </c>
      <c r="B53" s="35" t="s">
        <v>37</v>
      </c>
      <c r="C53" s="35" t="s">
        <v>38</v>
      </c>
      <c r="D53" s="35" t="s">
        <v>40</v>
      </c>
      <c r="E53" s="35" t="s">
        <v>25</v>
      </c>
      <c r="F53" s="35" t="s">
        <v>25</v>
      </c>
      <c r="G53" s="35" t="s">
        <v>25</v>
      </c>
      <c r="H53" s="35" t="s">
        <v>39</v>
      </c>
      <c r="I53" s="54">
        <v>44470</v>
      </c>
      <c r="J53" s="55">
        <f>EFEITO!$J$53*EFEITO!$Y$53</f>
        <v>0</v>
      </c>
      <c r="K53" s="55">
        <f ca="1">EFEITO!$L$53*EFEITO!$Z$53</f>
        <v>16108.906328376477</v>
      </c>
      <c r="L53" s="55">
        <f>EFEITO!$N$53*EFEITO!$AA$53</f>
        <v>1072.1225296622476</v>
      </c>
      <c r="M53" s="55">
        <f>$J$53-EFEITO!$K$53*EFEITO!$Y$53</f>
        <v>0</v>
      </c>
      <c r="N53" s="55">
        <f ca="1">$K$53-EFEITO!$M$53*EFEITO!$Z$53</f>
        <v>0</v>
      </c>
      <c r="O53" s="55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35" t="s">
        <v>21</v>
      </c>
      <c r="B54" s="35" t="s">
        <v>37</v>
      </c>
      <c r="C54" s="35" t="s">
        <v>38</v>
      </c>
      <c r="D54" s="35" t="s">
        <v>40</v>
      </c>
      <c r="E54" s="35" t="s">
        <v>25</v>
      </c>
      <c r="F54" s="35" t="s">
        <v>25</v>
      </c>
      <c r="G54" s="35" t="s">
        <v>25</v>
      </c>
      <c r="H54" s="35" t="s">
        <v>39</v>
      </c>
      <c r="I54" s="54">
        <v>44501</v>
      </c>
      <c r="J54" s="55">
        <f>EFEITO!$J$54*EFEITO!$Y$54</f>
        <v>0</v>
      </c>
      <c r="K54" s="55">
        <f ca="1">EFEITO!$L$54*EFEITO!$Z$54</f>
        <v>31428.528865581913</v>
      </c>
      <c r="L54" s="55">
        <f>EFEITO!$N$54*EFEITO!$AA$54</f>
        <v>2091.7145574045062</v>
      </c>
      <c r="M54" s="55">
        <f>$J$54-EFEITO!$K$54*EFEITO!$Y$54</f>
        <v>0</v>
      </c>
      <c r="N54" s="55">
        <f ca="1">$K$54-EFEITO!$M$54*EFEITO!$Z$54</f>
        <v>0</v>
      </c>
      <c r="O54" s="55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35" t="s">
        <v>21</v>
      </c>
      <c r="B55" s="35" t="s">
        <v>37</v>
      </c>
      <c r="C55" s="35" t="s">
        <v>38</v>
      </c>
      <c r="D55" s="35" t="s">
        <v>40</v>
      </c>
      <c r="E55" s="35" t="s">
        <v>25</v>
      </c>
      <c r="F55" s="35" t="s">
        <v>25</v>
      </c>
      <c r="G55" s="35" t="s">
        <v>25</v>
      </c>
      <c r="H55" s="35" t="s">
        <v>39</v>
      </c>
      <c r="I55" s="54">
        <v>44531</v>
      </c>
      <c r="J55" s="55">
        <f>EFEITO!$J$55*EFEITO!$Y$55</f>
        <v>0</v>
      </c>
      <c r="K55" s="55">
        <f ca="1">EFEITO!$L$55*EFEITO!$Z$55</f>
        <v>23067.132004827163</v>
      </c>
      <c r="L55" s="55">
        <f>EFEITO!$N$55*EFEITO!$AA$55</f>
        <v>1535.2247640489425</v>
      </c>
      <c r="M55" s="55">
        <f>$J$55-EFEITO!$K$55*EFEITO!$Y$55</f>
        <v>0</v>
      </c>
      <c r="N55" s="55">
        <f ca="1">$K$55-EFEITO!$M$55*EFEITO!$Z$55</f>
        <v>0</v>
      </c>
      <c r="O55" s="55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35" t="s">
        <v>21</v>
      </c>
      <c r="B56" s="35" t="s">
        <v>37</v>
      </c>
      <c r="C56" s="35" t="s">
        <v>38</v>
      </c>
      <c r="D56" s="35" t="s">
        <v>40</v>
      </c>
      <c r="E56" s="35" t="s">
        <v>25</v>
      </c>
      <c r="F56" s="35" t="s">
        <v>25</v>
      </c>
      <c r="G56" s="35" t="s">
        <v>25</v>
      </c>
      <c r="H56" s="35" t="s">
        <v>39</v>
      </c>
      <c r="I56" s="54">
        <v>44562</v>
      </c>
      <c r="J56" s="55">
        <f>EFEITO!$J$56*EFEITO!$Y$56</f>
        <v>0</v>
      </c>
      <c r="K56" s="55">
        <f ca="1">EFEITO!$L$56*EFEITO!$Z$56</f>
        <v>17171.307367920981</v>
      </c>
      <c r="L56" s="55">
        <f>EFEITO!$N$56*EFEITO!$AA$56</f>
        <v>1142.8302528815341</v>
      </c>
      <c r="M56" s="55">
        <f>$J$56-EFEITO!$K$56*EFEITO!$Y$56</f>
        <v>0</v>
      </c>
      <c r="N56" s="55">
        <f ca="1">$K$56-EFEITO!$M$56*EFEITO!$Z$56</f>
        <v>0</v>
      </c>
      <c r="O56" s="55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35" t="s">
        <v>21</v>
      </c>
      <c r="B57" s="35" t="s">
        <v>37</v>
      </c>
      <c r="C57" s="35" t="s">
        <v>38</v>
      </c>
      <c r="D57" s="35" t="s">
        <v>40</v>
      </c>
      <c r="E57" s="35" t="s">
        <v>25</v>
      </c>
      <c r="F57" s="35" t="s">
        <v>25</v>
      </c>
      <c r="G57" s="35" t="s">
        <v>25</v>
      </c>
      <c r="H57" s="35" t="s">
        <v>39</v>
      </c>
      <c r="I57" s="54">
        <v>44593</v>
      </c>
      <c r="J57" s="55">
        <f>EFEITO!$J$57*EFEITO!$Y$57</f>
        <v>0</v>
      </c>
      <c r="K57" s="55">
        <f ca="1">EFEITO!$L$57*EFEITO!$Z$57</f>
        <v>20606.571106636824</v>
      </c>
      <c r="L57" s="55">
        <f>EFEITO!$N$57*EFEITO!$AA$57</f>
        <v>1371.4630088571043</v>
      </c>
      <c r="M57" s="55">
        <f>$J$57-EFEITO!$K$57*EFEITO!$Y$57</f>
        <v>0</v>
      </c>
      <c r="N57" s="55">
        <f ca="1">$K$57-EFEITO!$M$57*EFEITO!$Z$57</f>
        <v>0</v>
      </c>
      <c r="O57" s="55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35" t="s">
        <v>21</v>
      </c>
      <c r="B58" s="35" t="s">
        <v>37</v>
      </c>
      <c r="C58" s="35" t="s">
        <v>38</v>
      </c>
      <c r="D58" s="35" t="s">
        <v>40</v>
      </c>
      <c r="E58" s="35" t="s">
        <v>25</v>
      </c>
      <c r="F58" s="35" t="s">
        <v>25</v>
      </c>
      <c r="G58" s="35" t="s">
        <v>25</v>
      </c>
      <c r="H58" s="35" t="s">
        <v>39</v>
      </c>
      <c r="I58" s="54">
        <v>44621</v>
      </c>
      <c r="J58" s="55">
        <f>EFEITO!$J$58*EFEITO!$Y$58</f>
        <v>0</v>
      </c>
      <c r="K58" s="55">
        <f ca="1">EFEITO!$L$58*EFEITO!$Z$58</f>
        <v>16627.578534003158</v>
      </c>
      <c r="L58" s="55">
        <f>EFEITO!$N$58*EFEITO!$AA$58</f>
        <v>1106.6425737810973</v>
      </c>
      <c r="M58" s="55">
        <f>$J$58-EFEITO!$K$58*EFEITO!$Y$58</f>
        <v>0</v>
      </c>
      <c r="N58" s="55">
        <f ca="1">$K$58-EFEITO!$M$58*EFEITO!$Z$58</f>
        <v>0</v>
      </c>
      <c r="O58" s="55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35" t="s">
        <v>21</v>
      </c>
      <c r="B59" s="35" t="s">
        <v>37</v>
      </c>
      <c r="C59" s="35" t="s">
        <v>38</v>
      </c>
      <c r="D59" s="35" t="s">
        <v>40</v>
      </c>
      <c r="E59" s="35" t="s">
        <v>25</v>
      </c>
      <c r="F59" s="35" t="s">
        <v>25</v>
      </c>
      <c r="G59" s="35" t="s">
        <v>25</v>
      </c>
      <c r="H59" s="35" t="s">
        <v>39</v>
      </c>
      <c r="I59" s="54">
        <v>44652</v>
      </c>
      <c r="J59" s="55">
        <f>EFEITO!$J$59*EFEITO!$Y$59</f>
        <v>0</v>
      </c>
      <c r="K59" s="55">
        <f ca="1">EFEITO!$L$59*EFEITO!$Z$59</f>
        <v>20318.419881288668</v>
      </c>
      <c r="L59" s="55">
        <f>EFEITO!$N$59*EFEITO!$AA$59</f>
        <v>1352.2852065688546</v>
      </c>
      <c r="M59" s="55">
        <f>$J$59-EFEITO!$K$59*EFEITO!$Y$59</f>
        <v>0</v>
      </c>
      <c r="N59" s="55">
        <f ca="1">$K$59-EFEITO!$M$59*EFEITO!$Z$59</f>
        <v>0</v>
      </c>
      <c r="O59" s="55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35" t="s">
        <v>21</v>
      </c>
      <c r="B60" s="35" t="s">
        <v>37</v>
      </c>
      <c r="C60" s="35" t="s">
        <v>38</v>
      </c>
      <c r="D60" s="35" t="s">
        <v>40</v>
      </c>
      <c r="E60" s="35" t="s">
        <v>25</v>
      </c>
      <c r="F60" s="35" t="s">
        <v>25</v>
      </c>
      <c r="G60" s="35" t="s">
        <v>25</v>
      </c>
      <c r="H60" s="35" t="s">
        <v>39</v>
      </c>
      <c r="I60" s="54">
        <v>44682</v>
      </c>
      <c r="J60" s="55">
        <f>EFEITO!$J$60*EFEITO!$Y$60</f>
        <v>0</v>
      </c>
      <c r="K60" s="55">
        <f ca="1">EFEITO!$L$60*EFEITO!$Z$60</f>
        <v>17364.243405762791</v>
      </c>
      <c r="L60" s="55">
        <f>EFEITO!$N$60*EFEITO!$AA$60</f>
        <v>1155.6710422397537</v>
      </c>
      <c r="M60" s="55">
        <f>$J$60-EFEITO!$K$60*EFEITO!$Y$60</f>
        <v>0</v>
      </c>
      <c r="N60" s="55">
        <f ca="1">$K$60-EFEITO!$M$60*EFEITO!$Z$60</f>
        <v>0</v>
      </c>
      <c r="O60" s="55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35" t="s">
        <v>27</v>
      </c>
      <c r="B61" s="35" t="s">
        <v>37</v>
      </c>
      <c r="C61" s="35" t="s">
        <v>38</v>
      </c>
      <c r="D61" s="35" t="s">
        <v>40</v>
      </c>
      <c r="E61" s="35" t="s">
        <v>25</v>
      </c>
      <c r="F61" s="35" t="s">
        <v>25</v>
      </c>
      <c r="G61" s="35" t="s">
        <v>25</v>
      </c>
      <c r="H61" s="35" t="s">
        <v>39</v>
      </c>
      <c r="I61" s="54">
        <v>44682</v>
      </c>
      <c r="J61" s="55">
        <f>EFEITO!$J$61*EFEITO!$Y$61</f>
        <v>0</v>
      </c>
      <c r="K61" s="55">
        <f ca="1">EFEITO!$L$61*EFEITO!$Z$61</f>
        <v>-3633.2111022158797</v>
      </c>
      <c r="L61" s="55">
        <f>EFEITO!$N$61*EFEITO!$AA$61</f>
        <v>-241.80707233010716</v>
      </c>
      <c r="M61" s="55">
        <f>$J$61-EFEITO!$K$61*EFEITO!$Y$61</f>
        <v>0</v>
      </c>
      <c r="N61" s="55">
        <f ca="1">$K$61-EFEITO!$M$61*EFEITO!$Z$61</f>
        <v>0</v>
      </c>
      <c r="O61" s="55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35" t="s">
        <v>21</v>
      </c>
      <c r="B62" s="35" t="s">
        <v>37</v>
      </c>
      <c r="C62" s="35" t="s">
        <v>38</v>
      </c>
      <c r="D62" s="35" t="s">
        <v>40</v>
      </c>
      <c r="E62" s="35" t="s">
        <v>25</v>
      </c>
      <c r="F62" s="35" t="s">
        <v>25</v>
      </c>
      <c r="G62" s="35" t="s">
        <v>25</v>
      </c>
      <c r="H62" s="35" t="s">
        <v>39</v>
      </c>
      <c r="I62" s="54">
        <v>44713</v>
      </c>
      <c r="J62" s="55">
        <f>EFEITO!$J$62*EFEITO!$Y$62</f>
        <v>0</v>
      </c>
      <c r="K62" s="55">
        <f ca="1">EFEITO!$L$62*EFEITO!$Z$62</f>
        <v>13728.526640717797</v>
      </c>
      <c r="L62" s="55">
        <f>EFEITO!$N$62*EFEITO!$AA$62</f>
        <v>913.69720641148774</v>
      </c>
      <c r="M62" s="55">
        <f>$J$62-EFEITO!$K$62*EFEITO!$Y$62</f>
        <v>0</v>
      </c>
      <c r="N62" s="55">
        <f ca="1">$K$62-EFEITO!$M$62*EFEITO!$Z$62</f>
        <v>0</v>
      </c>
      <c r="O62" s="55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35" t="s">
        <v>21</v>
      </c>
      <c r="B63" s="35" t="s">
        <v>37</v>
      </c>
      <c r="C63" s="35" t="s">
        <v>38</v>
      </c>
      <c r="D63" s="35" t="s">
        <v>40</v>
      </c>
      <c r="E63" s="35" t="s">
        <v>25</v>
      </c>
      <c r="F63" s="35" t="s">
        <v>25</v>
      </c>
      <c r="G63" s="35" t="s">
        <v>25</v>
      </c>
      <c r="H63" s="35" t="s">
        <v>39</v>
      </c>
      <c r="I63" s="54">
        <v>44743</v>
      </c>
      <c r="J63" s="55">
        <f>EFEITO!$J$63*EFEITO!$Y$63</f>
        <v>0</v>
      </c>
      <c r="K63" s="55">
        <f ca="1">EFEITO!$L$63*EFEITO!$Z$63</f>
        <v>40278.529978013976</v>
      </c>
      <c r="L63" s="55">
        <f>EFEITO!$N$63*EFEITO!$AA$63</f>
        <v>2680.7232329010158</v>
      </c>
      <c r="M63" s="55">
        <f>$J$63-EFEITO!$K$63*EFEITO!$Y$63</f>
        <v>0</v>
      </c>
      <c r="N63" s="55">
        <f ca="1">$K$63-EFEITO!$M$63*EFEITO!$Z$63</f>
        <v>0</v>
      </c>
      <c r="O63" s="55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35" t="s">
        <v>21</v>
      </c>
      <c r="B64" s="35" t="s">
        <v>37</v>
      </c>
      <c r="C64" s="35" t="s">
        <v>38</v>
      </c>
      <c r="D64" s="35" t="s">
        <v>40</v>
      </c>
      <c r="E64" s="35" t="s">
        <v>25</v>
      </c>
      <c r="F64" s="35" t="s">
        <v>25</v>
      </c>
      <c r="G64" s="35" t="s">
        <v>25</v>
      </c>
      <c r="H64" s="35" t="s">
        <v>39</v>
      </c>
      <c r="I64" s="54">
        <v>44774</v>
      </c>
      <c r="J64" s="55">
        <f>EFEITO!$J$64*EFEITO!$Y$64</f>
        <v>0</v>
      </c>
      <c r="K64" s="55">
        <f ca="1">EFEITO!$L$64*EFEITO!$Z$64</f>
        <v>20225.710356611431</v>
      </c>
      <c r="L64" s="55">
        <f>EFEITO!$N$64*EFEITO!$AA$64</f>
        <v>1346.1149571369826</v>
      </c>
      <c r="M64" s="55">
        <f>$J$64-EFEITO!$K$64*EFEITO!$Y$64</f>
        <v>0</v>
      </c>
      <c r="N64" s="55">
        <f ca="1">$K$64-EFEITO!$M$64*EFEITO!$Z$64</f>
        <v>0</v>
      </c>
      <c r="O64" s="55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35" t="s">
        <v>21</v>
      </c>
      <c r="B65" s="35" t="s">
        <v>37</v>
      </c>
      <c r="C65" s="35" t="s">
        <v>38</v>
      </c>
      <c r="D65" s="35" t="s">
        <v>36</v>
      </c>
      <c r="E65" s="35" t="s">
        <v>25</v>
      </c>
      <c r="F65" s="35" t="s">
        <v>25</v>
      </c>
      <c r="G65" s="35" t="s">
        <v>25</v>
      </c>
      <c r="H65" s="35" t="s">
        <v>34</v>
      </c>
      <c r="I65" s="54">
        <v>44440</v>
      </c>
      <c r="J65" s="55">
        <f>EFEITO!$J$65*EFEITO!$Y$65</f>
        <v>0</v>
      </c>
      <c r="K65" s="55">
        <f ca="1">EFEITO!$L$65*EFEITO!$Z$65</f>
        <v>5910.0498139935271</v>
      </c>
      <c r="L65" s="55">
        <f>EFEITO!$N$65*EFEITO!$AA$65</f>
        <v>9446.4851166974149</v>
      </c>
      <c r="M65" s="55">
        <f>$J$65-EFEITO!$K$65*EFEITO!$Y$65</f>
        <v>0</v>
      </c>
      <c r="N65" s="55">
        <f ca="1">$K$65-EFEITO!$M$65*EFEITO!$Z$65</f>
        <v>0</v>
      </c>
      <c r="O65" s="55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35" t="s">
        <v>21</v>
      </c>
      <c r="B66" s="35" t="s">
        <v>37</v>
      </c>
      <c r="C66" s="35" t="s">
        <v>38</v>
      </c>
      <c r="D66" s="35" t="s">
        <v>36</v>
      </c>
      <c r="E66" s="35" t="s">
        <v>25</v>
      </c>
      <c r="F66" s="35" t="s">
        <v>25</v>
      </c>
      <c r="G66" s="35" t="s">
        <v>25</v>
      </c>
      <c r="H66" s="35" t="s">
        <v>34</v>
      </c>
      <c r="I66" s="54">
        <v>44470</v>
      </c>
      <c r="J66" s="55">
        <f>EFEITO!$J$66*EFEITO!$Y$66</f>
        <v>0</v>
      </c>
      <c r="K66" s="55">
        <f ca="1">EFEITO!$L$66*EFEITO!$Z$66</f>
        <v>4488.1990413863923</v>
      </c>
      <c r="L66" s="55">
        <f>EFEITO!$N$66*EFEITO!$AA$66</f>
        <v>7173.8321637907247</v>
      </c>
      <c r="M66" s="55">
        <f>$J$66-EFEITO!$K$66*EFEITO!$Y$66</f>
        <v>0</v>
      </c>
      <c r="N66" s="55">
        <f ca="1">$K$66-EFEITO!$M$66*EFEITO!$Z$66</f>
        <v>0</v>
      </c>
      <c r="O66" s="55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35" t="s">
        <v>21</v>
      </c>
      <c r="B67" s="35" t="s">
        <v>37</v>
      </c>
      <c r="C67" s="35" t="s">
        <v>38</v>
      </c>
      <c r="D67" s="35" t="s">
        <v>36</v>
      </c>
      <c r="E67" s="35" t="s">
        <v>25</v>
      </c>
      <c r="F67" s="35" t="s">
        <v>25</v>
      </c>
      <c r="G67" s="35" t="s">
        <v>25</v>
      </c>
      <c r="H67" s="35" t="s">
        <v>34</v>
      </c>
      <c r="I67" s="54">
        <v>44501</v>
      </c>
      <c r="J67" s="55">
        <f>EFEITO!$J$67*EFEITO!$Y$67</f>
        <v>0</v>
      </c>
      <c r="K67" s="55">
        <f ca="1">EFEITO!$L$67*EFEITO!$Z$67</f>
        <v>6032.7454779637355</v>
      </c>
      <c r="L67" s="55">
        <f>EFEITO!$N$67*EFEITO!$AA$67</f>
        <v>9642.5989905320403</v>
      </c>
      <c r="M67" s="55">
        <f>$J$67-EFEITO!$K$67*EFEITO!$Y$67</f>
        <v>0</v>
      </c>
      <c r="N67" s="55">
        <f ca="1">$K$67-EFEITO!$M$67*EFEITO!$Z$67</f>
        <v>0</v>
      </c>
      <c r="O67" s="55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35" t="s">
        <v>21</v>
      </c>
      <c r="B68" s="35" t="s">
        <v>37</v>
      </c>
      <c r="C68" s="35" t="s">
        <v>38</v>
      </c>
      <c r="D68" s="35" t="s">
        <v>36</v>
      </c>
      <c r="E68" s="35" t="s">
        <v>25</v>
      </c>
      <c r="F68" s="35" t="s">
        <v>25</v>
      </c>
      <c r="G68" s="35" t="s">
        <v>25</v>
      </c>
      <c r="H68" s="35" t="s">
        <v>34</v>
      </c>
      <c r="I68" s="54">
        <v>44531</v>
      </c>
      <c r="J68" s="55">
        <f>EFEITO!$J$68*EFEITO!$Y$68</f>
        <v>0</v>
      </c>
      <c r="K68" s="55">
        <f ca="1">EFEITO!$L$68*EFEITO!$Z$68</f>
        <v>3888.8056829605048</v>
      </c>
      <c r="L68" s="55">
        <f>EFEITO!$N$68*EFEITO!$AA$68</f>
        <v>6215.7758668690249</v>
      </c>
      <c r="M68" s="55">
        <f>$J$68-EFEITO!$K$68*EFEITO!$Y$68</f>
        <v>0</v>
      </c>
      <c r="N68" s="55">
        <f ca="1">$K$68-EFEITO!$M$68*EFEITO!$Z$68</f>
        <v>0</v>
      </c>
      <c r="O68" s="55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35" t="s">
        <v>21</v>
      </c>
      <c r="B69" s="35" t="s">
        <v>37</v>
      </c>
      <c r="C69" s="35" t="s">
        <v>38</v>
      </c>
      <c r="D69" s="35" t="s">
        <v>36</v>
      </c>
      <c r="E69" s="35" t="s">
        <v>25</v>
      </c>
      <c r="F69" s="35" t="s">
        <v>25</v>
      </c>
      <c r="G69" s="35" t="s">
        <v>25</v>
      </c>
      <c r="H69" s="35" t="s">
        <v>34</v>
      </c>
      <c r="I69" s="54">
        <v>44562</v>
      </c>
      <c r="J69" s="55">
        <f>EFEITO!$J$69*EFEITO!$Y$69</f>
        <v>0</v>
      </c>
      <c r="K69" s="55">
        <f ca="1">EFEITO!$L$69*EFEITO!$Z$69</f>
        <v>5683.3341015723863</v>
      </c>
      <c r="L69" s="55">
        <f>EFEITO!$N$69*EFEITO!$AA$69</f>
        <v>9084.1080351985711</v>
      </c>
      <c r="M69" s="55">
        <f>$J$69-EFEITO!$K$69*EFEITO!$Y$69</f>
        <v>0</v>
      </c>
      <c r="N69" s="55">
        <f ca="1">$K$69-EFEITO!$M$69*EFEITO!$Z$69</f>
        <v>0</v>
      </c>
      <c r="O69" s="55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35" t="s">
        <v>21</v>
      </c>
      <c r="B70" s="35" t="s">
        <v>37</v>
      </c>
      <c r="C70" s="35" t="s">
        <v>38</v>
      </c>
      <c r="D70" s="35" t="s">
        <v>36</v>
      </c>
      <c r="E70" s="35" t="s">
        <v>25</v>
      </c>
      <c r="F70" s="35" t="s">
        <v>25</v>
      </c>
      <c r="G70" s="35" t="s">
        <v>25</v>
      </c>
      <c r="H70" s="35" t="s">
        <v>34</v>
      </c>
      <c r="I70" s="54">
        <v>44593</v>
      </c>
      <c r="J70" s="55">
        <f>EFEITO!$J$70*EFEITO!$Y$70</f>
        <v>0</v>
      </c>
      <c r="K70" s="55">
        <f ca="1">EFEITO!$L$70*EFEITO!$Z$70</f>
        <v>4216.4114524047664</v>
      </c>
      <c r="L70" s="55">
        <f>EFEITO!$N$70*EFEITO!$AA$70</f>
        <v>6739.4132510873242</v>
      </c>
      <c r="M70" s="55">
        <f>$J$70-EFEITO!$K$70*EFEITO!$Y$70</f>
        <v>0</v>
      </c>
      <c r="N70" s="55">
        <f ca="1">$K$70-EFEITO!$M$70*EFEITO!$Z$70</f>
        <v>0</v>
      </c>
      <c r="O70" s="55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35" t="s">
        <v>21</v>
      </c>
      <c r="B71" s="35" t="s">
        <v>37</v>
      </c>
      <c r="C71" s="35" t="s">
        <v>38</v>
      </c>
      <c r="D71" s="35" t="s">
        <v>36</v>
      </c>
      <c r="E71" s="35" t="s">
        <v>25</v>
      </c>
      <c r="F71" s="35" t="s">
        <v>25</v>
      </c>
      <c r="G71" s="35" t="s">
        <v>25</v>
      </c>
      <c r="H71" s="35" t="s">
        <v>34</v>
      </c>
      <c r="I71" s="54">
        <v>44621</v>
      </c>
      <c r="J71" s="55">
        <f>EFEITO!$J$71*EFEITO!$Y$71</f>
        <v>0</v>
      </c>
      <c r="K71" s="55">
        <f ca="1">EFEITO!$L$71*EFEITO!$Z$71</f>
        <v>4828.220443494306</v>
      </c>
      <c r="L71" s="55">
        <f>EFEITO!$N$71*EFEITO!$AA$71</f>
        <v>7717.3144042899103</v>
      </c>
      <c r="M71" s="55">
        <f>$J$71-EFEITO!$K$71*EFEITO!$Y$71</f>
        <v>0</v>
      </c>
      <c r="N71" s="55">
        <f ca="1">$K$71-EFEITO!$M$71*EFEITO!$Z$71</f>
        <v>0</v>
      </c>
      <c r="O71" s="55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35" t="s">
        <v>21</v>
      </c>
      <c r="B72" s="35" t="s">
        <v>37</v>
      </c>
      <c r="C72" s="35" t="s">
        <v>38</v>
      </c>
      <c r="D72" s="35" t="s">
        <v>36</v>
      </c>
      <c r="E72" s="35" t="s">
        <v>25</v>
      </c>
      <c r="F72" s="35" t="s">
        <v>25</v>
      </c>
      <c r="G72" s="35" t="s">
        <v>25</v>
      </c>
      <c r="H72" s="35" t="s">
        <v>34</v>
      </c>
      <c r="I72" s="54">
        <v>44652</v>
      </c>
      <c r="J72" s="55">
        <f>EFEITO!$J$72*EFEITO!$Y$72</f>
        <v>0</v>
      </c>
      <c r="K72" s="55">
        <f ca="1">EFEITO!$L$72*EFEITO!$Z$72</f>
        <v>4127.5196958549222</v>
      </c>
      <c r="L72" s="55">
        <f>EFEITO!$N$72*EFEITO!$AA$72</f>
        <v>6597.3307506561168</v>
      </c>
      <c r="M72" s="55">
        <f>$J$72-EFEITO!$K$72*EFEITO!$Y$72</f>
        <v>0</v>
      </c>
      <c r="N72" s="55">
        <f ca="1">$K$72-EFEITO!$M$72*EFEITO!$Z$72</f>
        <v>0</v>
      </c>
      <c r="O72" s="55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35" t="s">
        <v>21</v>
      </c>
      <c r="B73" s="35" t="s">
        <v>37</v>
      </c>
      <c r="C73" s="35" t="s">
        <v>38</v>
      </c>
      <c r="D73" s="35" t="s">
        <v>36</v>
      </c>
      <c r="E73" s="35" t="s">
        <v>25</v>
      </c>
      <c r="F73" s="35" t="s">
        <v>25</v>
      </c>
      <c r="G73" s="35" t="s">
        <v>25</v>
      </c>
      <c r="H73" s="35" t="s">
        <v>34</v>
      </c>
      <c r="I73" s="54">
        <v>44682</v>
      </c>
      <c r="J73" s="55">
        <f>EFEITO!$J$73*EFEITO!$Y$73</f>
        <v>0</v>
      </c>
      <c r="K73" s="55">
        <f ca="1">EFEITO!$L$73*EFEITO!$Z$73</f>
        <v>5308.0481293777966</v>
      </c>
      <c r="L73" s="55">
        <f>EFEITO!$N$73*EFEITO!$AA$73</f>
        <v>8484.2597323217469</v>
      </c>
      <c r="M73" s="55">
        <f>$J$73-EFEITO!$K$73*EFEITO!$Y$73</f>
        <v>0</v>
      </c>
      <c r="N73" s="55">
        <f ca="1">$K$73-EFEITO!$M$73*EFEITO!$Z$73</f>
        <v>0</v>
      </c>
      <c r="O73" s="55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35" t="s">
        <v>21</v>
      </c>
      <c r="B74" s="35" t="s">
        <v>37</v>
      </c>
      <c r="C74" s="35" t="s">
        <v>38</v>
      </c>
      <c r="D74" s="35" t="s">
        <v>36</v>
      </c>
      <c r="E74" s="35" t="s">
        <v>25</v>
      </c>
      <c r="F74" s="35" t="s">
        <v>25</v>
      </c>
      <c r="G74" s="35" t="s">
        <v>25</v>
      </c>
      <c r="H74" s="35" t="s">
        <v>34</v>
      </c>
      <c r="I74" s="54">
        <v>44713</v>
      </c>
      <c r="J74" s="55">
        <f>EFEITO!$J$74*EFEITO!$Y$74</f>
        <v>0</v>
      </c>
      <c r="K74" s="55">
        <f ca="1">EFEITO!$L$74*EFEITO!$Z$74</f>
        <v>3035.7786858342984</v>
      </c>
      <c r="L74" s="55">
        <f>EFEITO!$N$74*EFEITO!$AA$74</f>
        <v>4852.3175059235373</v>
      </c>
      <c r="M74" s="55">
        <f>$J$74-EFEITO!$K$74*EFEITO!$Y$74</f>
        <v>0</v>
      </c>
      <c r="N74" s="55">
        <f ca="1">$K$74-EFEITO!$M$74*EFEITO!$Z$74</f>
        <v>0</v>
      </c>
      <c r="O74" s="55">
        <f>$L$74-EFEITO!$O$74*EFEITO!$AA$74</f>
        <v>0</v>
      </c>
      <c r="P74" s="39"/>
      <c r="Q74" s="39"/>
      <c r="R74" s="39"/>
      <c r="S74" s="39"/>
      <c r="T74" s="39"/>
      <c r="U74" s="39"/>
      <c r="V74" s="39"/>
      <c r="W74" s="39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35" t="s">
        <v>21</v>
      </c>
      <c r="B75" s="35" t="s">
        <v>37</v>
      </c>
      <c r="C75" s="35" t="s">
        <v>38</v>
      </c>
      <c r="D75" s="35" t="s">
        <v>36</v>
      </c>
      <c r="E75" s="35" t="s">
        <v>25</v>
      </c>
      <c r="F75" s="35" t="s">
        <v>25</v>
      </c>
      <c r="G75" s="35" t="s">
        <v>25</v>
      </c>
      <c r="H75" s="35" t="s">
        <v>34</v>
      </c>
      <c r="I75" s="54">
        <v>44743</v>
      </c>
      <c r="J75" s="55">
        <f>EFEITO!$J$75*EFEITO!$Y$75</f>
        <v>0</v>
      </c>
      <c r="K75" s="55">
        <f ca="1">EFEITO!$L$75*EFEITO!$Z$75</f>
        <v>4408.4885930247938</v>
      </c>
      <c r="L75" s="55">
        <f>EFEITO!$N$75*EFEITO!$AA$75</f>
        <v>7046.4248511974811</v>
      </c>
      <c r="M75" s="55">
        <f>$J$75-EFEITO!$K$75*EFEITO!$Y$75</f>
        <v>0</v>
      </c>
      <c r="N75" s="55">
        <f ca="1">$K$75-EFEITO!$M$75*EFEITO!$Z$75</f>
        <v>0</v>
      </c>
      <c r="O75" s="55">
        <f>$L$75-EFEITO!$O$75*EFEITO!$AA$75</f>
        <v>0</v>
      </c>
      <c r="P75" s="39"/>
      <c r="Q75" s="39"/>
      <c r="R75" s="39"/>
      <c r="S75" s="39"/>
      <c r="T75" s="39"/>
      <c r="U75" s="39"/>
      <c r="V75" s="39"/>
      <c r="W75" s="39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35" t="s">
        <v>21</v>
      </c>
      <c r="B76" s="35" t="s">
        <v>37</v>
      </c>
      <c r="C76" s="35" t="s">
        <v>38</v>
      </c>
      <c r="D76" s="35" t="s">
        <v>36</v>
      </c>
      <c r="E76" s="35" t="s">
        <v>25</v>
      </c>
      <c r="F76" s="35" t="s">
        <v>25</v>
      </c>
      <c r="G76" s="35" t="s">
        <v>25</v>
      </c>
      <c r="H76" s="35" t="s">
        <v>34</v>
      </c>
      <c r="I76" s="54">
        <v>44774</v>
      </c>
      <c r="J76" s="55">
        <f>EFEITO!$J$76*EFEITO!$Y$76</f>
        <v>0</v>
      </c>
      <c r="K76" s="55">
        <f ca="1">EFEITO!$L$76*EFEITO!$Z$76</f>
        <v>5002.2479668806209</v>
      </c>
      <c r="L76" s="55">
        <f>EFEITO!$N$76*EFEITO!$AA$76</f>
        <v>7995.4759192186129</v>
      </c>
      <c r="M76" s="55">
        <f>$J$76-EFEITO!$K$76*EFEITO!$Y$76</f>
        <v>0</v>
      </c>
      <c r="N76" s="55">
        <f ca="1">$K$76-EFEITO!$M$76*EFEITO!$Z$76</f>
        <v>0</v>
      </c>
      <c r="O76" s="55">
        <f>$L$76-EFEITO!$O$76*EFEITO!$AA$76</f>
        <v>0</v>
      </c>
      <c r="P76" s="39"/>
      <c r="Q76" s="39"/>
      <c r="R76" s="39"/>
      <c r="S76" s="39"/>
      <c r="T76" s="39"/>
      <c r="U76" s="39"/>
      <c r="V76" s="39"/>
      <c r="W76" s="39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35" t="s">
        <v>21</v>
      </c>
      <c r="B77" s="35" t="s">
        <v>37</v>
      </c>
      <c r="C77" s="35" t="s">
        <v>38</v>
      </c>
      <c r="D77" s="35" t="s">
        <v>36</v>
      </c>
      <c r="E77" s="35" t="s">
        <v>25</v>
      </c>
      <c r="F77" s="35" t="s">
        <v>25</v>
      </c>
      <c r="G77" s="35" t="s">
        <v>25</v>
      </c>
      <c r="H77" s="35" t="s">
        <v>25</v>
      </c>
      <c r="I77" s="54">
        <v>44440</v>
      </c>
      <c r="J77" s="55">
        <f ca="1">EFEITO!$J$77*EFEITO!$Y$77</f>
        <v>10778.325349403607</v>
      </c>
      <c r="K77" s="55">
        <f>EFEITO!$L$77*EFEITO!$Z$77</f>
        <v>0</v>
      </c>
      <c r="L77" s="55">
        <f>EFEITO!$N$77*EFEITO!$AA$77</f>
        <v>0</v>
      </c>
      <c r="M77" s="55">
        <f ca="1">$J$77-EFEITO!$K$77*EFEITO!$Y$77</f>
        <v>0</v>
      </c>
      <c r="N77" s="55">
        <f>$K$77-EFEITO!$M$77*EFEITO!$Z$77</f>
        <v>0</v>
      </c>
      <c r="O77" s="55">
        <f>$L$77-EFEITO!$O$77*EFEITO!$AA$77</f>
        <v>0</v>
      </c>
      <c r="P77" s="39"/>
      <c r="Q77" s="39"/>
      <c r="R77" s="39"/>
      <c r="S77" s="39"/>
      <c r="T77" s="39"/>
      <c r="U77" s="39"/>
      <c r="V77" s="39"/>
      <c r="W77" s="39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35" t="s">
        <v>21</v>
      </c>
      <c r="B78" s="35" t="s">
        <v>37</v>
      </c>
      <c r="C78" s="35" t="s">
        <v>38</v>
      </c>
      <c r="D78" s="35" t="s">
        <v>36</v>
      </c>
      <c r="E78" s="35" t="s">
        <v>25</v>
      </c>
      <c r="F78" s="35" t="s">
        <v>25</v>
      </c>
      <c r="G78" s="35" t="s">
        <v>25</v>
      </c>
      <c r="H78" s="35" t="s">
        <v>25</v>
      </c>
      <c r="I78" s="54">
        <v>44470</v>
      </c>
      <c r="J78" s="55">
        <f ca="1">EFEITO!$J$78*EFEITO!$Y$78</f>
        <v>10483.477543492871</v>
      </c>
      <c r="K78" s="55">
        <f>EFEITO!$L$78*EFEITO!$Z$78</f>
        <v>0</v>
      </c>
      <c r="L78" s="55">
        <f>EFEITO!$N$78*EFEITO!$AA$78</f>
        <v>0</v>
      </c>
      <c r="M78" s="55">
        <f ca="1">$J$78-EFEITO!$K$78*EFEITO!$Y$78</f>
        <v>0</v>
      </c>
      <c r="N78" s="55">
        <f>$K$78-EFEITO!$M$78*EFEITO!$Z$78</f>
        <v>0</v>
      </c>
      <c r="O78" s="55">
        <f>$L$78-EFEITO!$O$78*EFEITO!$AA$78</f>
        <v>0</v>
      </c>
      <c r="P78" s="39"/>
      <c r="Q78" s="39"/>
      <c r="R78" s="39"/>
      <c r="S78" s="39"/>
      <c r="T78" s="39"/>
      <c r="U78" s="39"/>
      <c r="V78" s="39"/>
      <c r="W78" s="39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35" t="s">
        <v>21</v>
      </c>
      <c r="B79" s="35" t="s">
        <v>37</v>
      </c>
      <c r="C79" s="35" t="s">
        <v>38</v>
      </c>
      <c r="D79" s="35" t="s">
        <v>36</v>
      </c>
      <c r="E79" s="35" t="s">
        <v>25</v>
      </c>
      <c r="F79" s="35" t="s">
        <v>25</v>
      </c>
      <c r="G79" s="35" t="s">
        <v>25</v>
      </c>
      <c r="H79" s="35" t="s">
        <v>25</v>
      </c>
      <c r="I79" s="54">
        <v>44501</v>
      </c>
      <c r="J79" s="55">
        <f ca="1">EFEITO!$J$79*EFEITO!$Y$79</f>
        <v>11171.45575728459</v>
      </c>
      <c r="K79" s="55">
        <f>EFEITO!$L$79*EFEITO!$Z$79</f>
        <v>0</v>
      </c>
      <c r="L79" s="55">
        <f>EFEITO!$N$79*EFEITO!$AA$79</f>
        <v>0</v>
      </c>
      <c r="M79" s="55">
        <f ca="1">$J$79-EFEITO!$K$79*EFEITO!$Y$79</f>
        <v>0</v>
      </c>
      <c r="N79" s="55">
        <f>$K$79-EFEITO!$M$79*EFEITO!$Z$79</f>
        <v>0</v>
      </c>
      <c r="O79" s="55">
        <f>$L$79-EFEITO!$O$79*EFEITO!$AA$79</f>
        <v>0</v>
      </c>
      <c r="P79" s="39"/>
      <c r="Q79" s="39"/>
      <c r="R79" s="39"/>
      <c r="S79" s="39"/>
      <c r="T79" s="39"/>
      <c r="U79" s="39"/>
      <c r="V79" s="39"/>
      <c r="W79" s="39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35" t="s">
        <v>21</v>
      </c>
      <c r="B80" s="35" t="s">
        <v>37</v>
      </c>
      <c r="C80" s="35" t="s">
        <v>38</v>
      </c>
      <c r="D80" s="35" t="s">
        <v>36</v>
      </c>
      <c r="E80" s="35" t="s">
        <v>25</v>
      </c>
      <c r="F80" s="35" t="s">
        <v>25</v>
      </c>
      <c r="G80" s="35" t="s">
        <v>25</v>
      </c>
      <c r="H80" s="35" t="s">
        <v>25</v>
      </c>
      <c r="I80" s="54">
        <v>44531</v>
      </c>
      <c r="J80" s="55">
        <f ca="1">EFEITO!$J$80*EFEITO!$Y$80</f>
        <v>11040.412287990928</v>
      </c>
      <c r="K80" s="55">
        <f>EFEITO!$L$80*EFEITO!$Z$80</f>
        <v>0</v>
      </c>
      <c r="L80" s="55">
        <f>EFEITO!$N$80*EFEITO!$AA$80</f>
        <v>0</v>
      </c>
      <c r="M80" s="55">
        <f ca="1">$J$80-EFEITO!$K$80*EFEITO!$Y$80</f>
        <v>0</v>
      </c>
      <c r="N80" s="55">
        <f>$K$80-EFEITO!$M$80*EFEITO!$Z$80</f>
        <v>0</v>
      </c>
      <c r="O80" s="55">
        <f>$L$80-EFEITO!$O$80*EFEITO!$AA$80</f>
        <v>0</v>
      </c>
      <c r="P80" s="39"/>
      <c r="Q80" s="39"/>
      <c r="R80" s="39"/>
      <c r="S80" s="39"/>
      <c r="T80" s="39"/>
      <c r="U80" s="39"/>
      <c r="V80" s="39"/>
      <c r="W80" s="39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35" t="s">
        <v>21</v>
      </c>
      <c r="B81" s="35" t="s">
        <v>37</v>
      </c>
      <c r="C81" s="35" t="s">
        <v>38</v>
      </c>
      <c r="D81" s="35" t="s">
        <v>36</v>
      </c>
      <c r="E81" s="35" t="s">
        <v>25</v>
      </c>
      <c r="F81" s="35" t="s">
        <v>25</v>
      </c>
      <c r="G81" s="35" t="s">
        <v>25</v>
      </c>
      <c r="H81" s="35" t="s">
        <v>25</v>
      </c>
      <c r="I81" s="54">
        <v>44562</v>
      </c>
      <c r="J81" s="55">
        <f ca="1">EFEITO!$J$81*EFEITO!$Y$81</f>
        <v>11433.542695871911</v>
      </c>
      <c r="K81" s="55">
        <f>EFEITO!$L$81*EFEITO!$Z$81</f>
        <v>0</v>
      </c>
      <c r="L81" s="55">
        <f>EFEITO!$N$81*EFEITO!$AA$81</f>
        <v>0</v>
      </c>
      <c r="M81" s="55">
        <f ca="1">$J$81-EFEITO!$K$81*EFEITO!$Y$81</f>
        <v>0</v>
      </c>
      <c r="N81" s="55">
        <f>$K$81-EFEITO!$M$81*EFEITO!$Z$81</f>
        <v>0</v>
      </c>
      <c r="O81" s="55">
        <f>$L$81-EFEITO!$O$81*EFEITO!$AA$81</f>
        <v>0</v>
      </c>
      <c r="P81" s="39"/>
      <c r="Q81" s="39"/>
      <c r="R81" s="39"/>
      <c r="S81" s="39"/>
      <c r="T81" s="39"/>
      <c r="U81" s="39"/>
      <c r="V81" s="39"/>
      <c r="W81" s="39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35" t="s">
        <v>21</v>
      </c>
      <c r="B82" s="35" t="s">
        <v>37</v>
      </c>
      <c r="C82" s="35" t="s">
        <v>38</v>
      </c>
      <c r="D82" s="35" t="s">
        <v>36</v>
      </c>
      <c r="E82" s="35" t="s">
        <v>25</v>
      </c>
      <c r="F82" s="35" t="s">
        <v>25</v>
      </c>
      <c r="G82" s="35" t="s">
        <v>25</v>
      </c>
      <c r="H82" s="35" t="s">
        <v>25</v>
      </c>
      <c r="I82" s="54">
        <v>44593</v>
      </c>
      <c r="J82" s="55">
        <f ca="1">EFEITO!$J$82*EFEITO!$Y$82</f>
        <v>10843.847084050438</v>
      </c>
      <c r="K82" s="55">
        <f>EFEITO!$L$82*EFEITO!$Z$82</f>
        <v>0</v>
      </c>
      <c r="L82" s="55">
        <f>EFEITO!$N$82*EFEITO!$AA$82</f>
        <v>0</v>
      </c>
      <c r="M82" s="55">
        <f ca="1">$J$82-EFEITO!$K$82*EFEITO!$Y$82</f>
        <v>0</v>
      </c>
      <c r="N82" s="55">
        <f>$K$82-EFEITO!$M$82*EFEITO!$Z$82</f>
        <v>0</v>
      </c>
      <c r="O82" s="55">
        <f>$L$82-EFEITO!$O$82*EFEITO!$AA$82</f>
        <v>0</v>
      </c>
      <c r="P82" s="39"/>
      <c r="Q82" s="39"/>
      <c r="R82" s="39"/>
      <c r="S82" s="39"/>
      <c r="T82" s="39"/>
      <c r="U82" s="39"/>
      <c r="V82" s="39"/>
      <c r="W82" s="39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35" t="s">
        <v>21</v>
      </c>
      <c r="B83" s="35" t="s">
        <v>37</v>
      </c>
      <c r="C83" s="35" t="s">
        <v>38</v>
      </c>
      <c r="D83" s="35" t="s">
        <v>36</v>
      </c>
      <c r="E83" s="35" t="s">
        <v>25</v>
      </c>
      <c r="F83" s="35" t="s">
        <v>25</v>
      </c>
      <c r="G83" s="35" t="s">
        <v>25</v>
      </c>
      <c r="H83" s="35" t="s">
        <v>25</v>
      </c>
      <c r="I83" s="54">
        <v>44621</v>
      </c>
      <c r="J83" s="55">
        <f ca="1">EFEITO!$J$83*EFEITO!$Y$83</f>
        <v>11105.934022637759</v>
      </c>
      <c r="K83" s="55">
        <f>EFEITO!$L$83*EFEITO!$Z$83</f>
        <v>0</v>
      </c>
      <c r="L83" s="55">
        <f>EFEITO!$N$83*EFEITO!$AA$83</f>
        <v>0</v>
      </c>
      <c r="M83" s="55">
        <f ca="1">$J$83-EFEITO!$K$83*EFEITO!$Y$83</f>
        <v>0</v>
      </c>
      <c r="N83" s="55">
        <f>$K$83-EFEITO!$M$83*EFEITO!$Z$83</f>
        <v>0</v>
      </c>
      <c r="O83" s="55">
        <f>$L$83-EFEITO!$O$83*EFEITO!$AA$83</f>
        <v>0</v>
      </c>
      <c r="P83" s="39"/>
      <c r="Q83" s="39"/>
      <c r="R83" s="39"/>
      <c r="S83" s="39"/>
      <c r="T83" s="39"/>
      <c r="U83" s="39"/>
      <c r="V83" s="39"/>
      <c r="W83" s="39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35" t="s">
        <v>21</v>
      </c>
      <c r="B84" s="35" t="s">
        <v>37</v>
      </c>
      <c r="C84" s="35" t="s">
        <v>38</v>
      </c>
      <c r="D84" s="35" t="s">
        <v>36</v>
      </c>
      <c r="E84" s="35" t="s">
        <v>25</v>
      </c>
      <c r="F84" s="35" t="s">
        <v>25</v>
      </c>
      <c r="G84" s="35" t="s">
        <v>25</v>
      </c>
      <c r="H84" s="35" t="s">
        <v>25</v>
      </c>
      <c r="I84" s="54">
        <v>44652</v>
      </c>
      <c r="J84" s="55">
        <f ca="1">EFEITO!$J$84*EFEITO!$Y$84</f>
        <v>11040.412287990928</v>
      </c>
      <c r="K84" s="55">
        <f>EFEITO!$L$84*EFEITO!$Z$84</f>
        <v>0</v>
      </c>
      <c r="L84" s="55">
        <f>EFEITO!$N$84*EFEITO!$AA$84</f>
        <v>0</v>
      </c>
      <c r="M84" s="55">
        <f ca="1">$J$84-EFEITO!$K$84*EFEITO!$Y$84</f>
        <v>0</v>
      </c>
      <c r="N84" s="55">
        <f>$K$84-EFEITO!$M$84*EFEITO!$Z$84</f>
        <v>0</v>
      </c>
      <c r="O84" s="55">
        <f>$L$84-EFEITO!$O$84*EFEITO!$AA$84</f>
        <v>0</v>
      </c>
      <c r="P84" s="39"/>
      <c r="Q84" s="39"/>
      <c r="R84" s="39"/>
      <c r="S84" s="39"/>
      <c r="T84" s="39"/>
      <c r="U84" s="39"/>
      <c r="V84" s="39"/>
      <c r="W84" s="39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35" t="s">
        <v>21</v>
      </c>
      <c r="B85" s="35" t="s">
        <v>37</v>
      </c>
      <c r="C85" s="35" t="s">
        <v>38</v>
      </c>
      <c r="D85" s="35" t="s">
        <v>36</v>
      </c>
      <c r="E85" s="35" t="s">
        <v>25</v>
      </c>
      <c r="F85" s="35" t="s">
        <v>25</v>
      </c>
      <c r="G85" s="35" t="s">
        <v>25</v>
      </c>
      <c r="H85" s="35" t="s">
        <v>25</v>
      </c>
      <c r="I85" s="54">
        <v>44682</v>
      </c>
      <c r="J85" s="55">
        <f ca="1">EFEITO!$J$85*EFEITO!$Y$85</f>
        <v>11236.97749193142</v>
      </c>
      <c r="K85" s="55">
        <f>EFEITO!$L$85*EFEITO!$Z$85</f>
        <v>0</v>
      </c>
      <c r="L85" s="55">
        <f>EFEITO!$N$85*EFEITO!$AA$85</f>
        <v>0</v>
      </c>
      <c r="M85" s="55">
        <f ca="1">$J$85-EFEITO!$K$85*EFEITO!$Y$85</f>
        <v>0</v>
      </c>
      <c r="N85" s="55">
        <f>$K$85-EFEITO!$M$85*EFEITO!$Z$85</f>
        <v>0</v>
      </c>
      <c r="O85" s="55">
        <f>$L$85-EFEITO!$O$85*EFEITO!$AA$85</f>
        <v>0</v>
      </c>
      <c r="P85" s="39"/>
      <c r="Q85" s="39"/>
      <c r="R85" s="39"/>
      <c r="S85" s="39"/>
      <c r="T85" s="39"/>
      <c r="U85" s="39"/>
      <c r="V85" s="39"/>
      <c r="W85" s="39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35" t="s">
        <v>21</v>
      </c>
      <c r="B86" s="35" t="s">
        <v>37</v>
      </c>
      <c r="C86" s="35" t="s">
        <v>38</v>
      </c>
      <c r="D86" s="35" t="s">
        <v>36</v>
      </c>
      <c r="E86" s="35" t="s">
        <v>25</v>
      </c>
      <c r="F86" s="35" t="s">
        <v>25</v>
      </c>
      <c r="G86" s="35" t="s">
        <v>25</v>
      </c>
      <c r="H86" s="35" t="s">
        <v>25</v>
      </c>
      <c r="I86" s="54">
        <v>44713</v>
      </c>
      <c r="J86" s="55">
        <f ca="1">EFEITO!$J$86*EFEITO!$Y$86</f>
        <v>10352.434074199209</v>
      </c>
      <c r="K86" s="55">
        <f>EFEITO!$L$86*EFEITO!$Z$86</f>
        <v>0</v>
      </c>
      <c r="L86" s="55">
        <f>EFEITO!$N$86*EFEITO!$AA$86</f>
        <v>0</v>
      </c>
      <c r="M86" s="55">
        <f ca="1">$J$86-EFEITO!$K$86*EFEITO!$Y$86</f>
        <v>0</v>
      </c>
      <c r="N86" s="55">
        <f>$K$86-EFEITO!$M$86*EFEITO!$Z$86</f>
        <v>0</v>
      </c>
      <c r="O86" s="55">
        <f>$L$86-EFEITO!$O$86*EFEITO!$AA$86</f>
        <v>0</v>
      </c>
      <c r="P86" s="39"/>
      <c r="Q86" s="39"/>
      <c r="R86" s="39"/>
      <c r="S86" s="39"/>
      <c r="T86" s="39"/>
      <c r="U86" s="39"/>
      <c r="V86" s="39"/>
      <c r="W86" s="39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35" t="s">
        <v>21</v>
      </c>
      <c r="B87" s="35" t="s">
        <v>37</v>
      </c>
      <c r="C87" s="35" t="s">
        <v>38</v>
      </c>
      <c r="D87" s="35" t="s">
        <v>36</v>
      </c>
      <c r="E87" s="35" t="s">
        <v>25</v>
      </c>
      <c r="F87" s="35" t="s">
        <v>25</v>
      </c>
      <c r="G87" s="35" t="s">
        <v>25</v>
      </c>
      <c r="H87" s="35" t="s">
        <v>25</v>
      </c>
      <c r="I87" s="54">
        <v>44743</v>
      </c>
      <c r="J87" s="55">
        <f ca="1">EFEITO!$J$87*EFEITO!$Y$87</f>
        <v>10450.716676169455</v>
      </c>
      <c r="K87" s="55">
        <f>EFEITO!$L$87*EFEITO!$Z$87</f>
        <v>0</v>
      </c>
      <c r="L87" s="55">
        <f>EFEITO!$N$87*EFEITO!$AA$87</f>
        <v>0</v>
      </c>
      <c r="M87" s="55">
        <f ca="1">$J$87-EFEITO!$K$87*EFEITO!$Y$87</f>
        <v>0</v>
      </c>
      <c r="N87" s="55">
        <f>$K$87-EFEITO!$M$87*EFEITO!$Z$87</f>
        <v>0</v>
      </c>
      <c r="O87" s="55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35" t="s">
        <v>21</v>
      </c>
      <c r="B88" s="35" t="s">
        <v>37</v>
      </c>
      <c r="C88" s="35" t="s">
        <v>38</v>
      </c>
      <c r="D88" s="35" t="s">
        <v>36</v>
      </c>
      <c r="E88" s="35" t="s">
        <v>25</v>
      </c>
      <c r="F88" s="35" t="s">
        <v>25</v>
      </c>
      <c r="G88" s="35" t="s">
        <v>25</v>
      </c>
      <c r="H88" s="35" t="s">
        <v>25</v>
      </c>
      <c r="I88" s="54">
        <v>44774</v>
      </c>
      <c r="J88" s="55">
        <f ca="1">EFEITO!$J$88*EFEITO!$Y$88</f>
        <v>9992.0645336416419</v>
      </c>
      <c r="K88" s="55">
        <f>EFEITO!$L$88*EFEITO!$Z$88</f>
        <v>0</v>
      </c>
      <c r="L88" s="55">
        <f>EFEITO!$N$88*EFEITO!$AA$88</f>
        <v>0</v>
      </c>
      <c r="M88" s="55">
        <f ca="1">$J$88-EFEITO!$K$88*EFEITO!$Y$88</f>
        <v>0</v>
      </c>
      <c r="N88" s="55">
        <f>$K$88-EFEITO!$M$88*EFEITO!$Z$88</f>
        <v>0</v>
      </c>
      <c r="O88" s="55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35" t="s">
        <v>21</v>
      </c>
      <c r="B89" s="35" t="s">
        <v>37</v>
      </c>
      <c r="C89" s="35" t="s">
        <v>38</v>
      </c>
      <c r="D89" s="35" t="s">
        <v>36</v>
      </c>
      <c r="E89" s="35" t="s">
        <v>25</v>
      </c>
      <c r="F89" s="35" t="s">
        <v>25</v>
      </c>
      <c r="G89" s="35" t="s">
        <v>25</v>
      </c>
      <c r="H89" s="35" t="s">
        <v>39</v>
      </c>
      <c r="I89" s="54">
        <v>44440</v>
      </c>
      <c r="J89" s="55">
        <f>EFEITO!$J$89*EFEITO!$Y$89</f>
        <v>0</v>
      </c>
      <c r="K89" s="55">
        <f ca="1">EFEITO!$L$89*EFEITO!$Z$89</f>
        <v>7431.7959511533099</v>
      </c>
      <c r="L89" s="55">
        <f>EFEITO!$N$89*EFEITO!$AA$89</f>
        <v>494.62053553868822</v>
      </c>
      <c r="M89" s="55">
        <f>$J$89-EFEITO!$K$89*EFEITO!$Y$89</f>
        <v>0</v>
      </c>
      <c r="N89" s="55">
        <f ca="1">$K$89-EFEITO!$M$89*EFEITO!$Z$89</f>
        <v>0</v>
      </c>
      <c r="O89" s="55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35" t="s">
        <v>21</v>
      </c>
      <c r="B90" s="35" t="s">
        <v>37</v>
      </c>
      <c r="C90" s="35" t="s">
        <v>38</v>
      </c>
      <c r="D90" s="35" t="s">
        <v>36</v>
      </c>
      <c r="E90" s="35" t="s">
        <v>25</v>
      </c>
      <c r="F90" s="35" t="s">
        <v>25</v>
      </c>
      <c r="G90" s="35" t="s">
        <v>25</v>
      </c>
      <c r="H90" s="35" t="s">
        <v>39</v>
      </c>
      <c r="I90" s="54">
        <v>44470</v>
      </c>
      <c r="J90" s="55">
        <f>EFEITO!$J$90*EFEITO!$Y$90</f>
        <v>0</v>
      </c>
      <c r="K90" s="55">
        <f ca="1">EFEITO!$L$90*EFEITO!$Z$90</f>
        <v>4146.8719821843315</v>
      </c>
      <c r="L90" s="55">
        <f>EFEITO!$N$90*EFEITO!$AA$90</f>
        <v>275.99358945263958</v>
      </c>
      <c r="M90" s="55">
        <f>$J$90-EFEITO!$K$90*EFEITO!$Y$90</f>
        <v>0</v>
      </c>
      <c r="N90" s="55">
        <f ca="1">$K$90-EFEITO!$M$90*EFEITO!$Z$90</f>
        <v>0</v>
      </c>
      <c r="O90" s="55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35" t="s">
        <v>21</v>
      </c>
      <c r="B91" s="35" t="s">
        <v>37</v>
      </c>
      <c r="C91" s="35" t="s">
        <v>38</v>
      </c>
      <c r="D91" s="35" t="s">
        <v>36</v>
      </c>
      <c r="E91" s="35" t="s">
        <v>25</v>
      </c>
      <c r="F91" s="35" t="s">
        <v>25</v>
      </c>
      <c r="G91" s="35" t="s">
        <v>25</v>
      </c>
      <c r="H91" s="35" t="s">
        <v>39</v>
      </c>
      <c r="I91" s="54">
        <v>44501</v>
      </c>
      <c r="J91" s="55">
        <f>EFEITO!$J$91*EFEITO!$Y$91</f>
        <v>0</v>
      </c>
      <c r="K91" s="55">
        <f ca="1">EFEITO!$L$91*EFEITO!$Z$91</f>
        <v>6314.2703293682871</v>
      </c>
      <c r="L91" s="55">
        <f>EFEITO!$N$91*EFEITO!$AA$91</f>
        <v>420.24401535991041</v>
      </c>
      <c r="M91" s="55">
        <f>$J$91-EFEITO!$K$91*EFEITO!$Y$91</f>
        <v>0</v>
      </c>
      <c r="N91" s="55">
        <f ca="1">$K$91-EFEITO!$M$91*EFEITO!$Z$91</f>
        <v>0</v>
      </c>
      <c r="O91" s="55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35" t="s">
        <v>21</v>
      </c>
      <c r="B92" s="35" t="s">
        <v>37</v>
      </c>
      <c r="C92" s="35" t="s">
        <v>38</v>
      </c>
      <c r="D92" s="35" t="s">
        <v>36</v>
      </c>
      <c r="E92" s="35" t="s">
        <v>25</v>
      </c>
      <c r="F92" s="35" t="s">
        <v>25</v>
      </c>
      <c r="G92" s="35" t="s">
        <v>25</v>
      </c>
      <c r="H92" s="35" t="s">
        <v>39</v>
      </c>
      <c r="I92" s="54">
        <v>44531</v>
      </c>
      <c r="J92" s="55">
        <f>EFEITO!$J$92*EFEITO!$Y$92</f>
        <v>0</v>
      </c>
      <c r="K92" s="55">
        <f ca="1">EFEITO!$L$92*EFEITO!$Z$92</f>
        <v>2598.3723537916326</v>
      </c>
      <c r="L92" s="55">
        <f>EFEITO!$N$92*EFEITO!$AA$92</f>
        <v>172.9337475905663</v>
      </c>
      <c r="M92" s="55">
        <f>$J$92-EFEITO!$K$92*EFEITO!$Y$92</f>
        <v>0</v>
      </c>
      <c r="N92" s="55">
        <f ca="1">$K$92-EFEITO!$M$92*EFEITO!$Z$92</f>
        <v>0</v>
      </c>
      <c r="O92" s="55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35" t="s">
        <v>21</v>
      </c>
      <c r="B93" s="35" t="s">
        <v>37</v>
      </c>
      <c r="C93" s="35" t="s">
        <v>38</v>
      </c>
      <c r="D93" s="35" t="s">
        <v>36</v>
      </c>
      <c r="E93" s="35" t="s">
        <v>25</v>
      </c>
      <c r="F93" s="35" t="s">
        <v>25</v>
      </c>
      <c r="G93" s="35" t="s">
        <v>25</v>
      </c>
      <c r="H93" s="35" t="s">
        <v>39</v>
      </c>
      <c r="I93" s="54">
        <v>44562</v>
      </c>
      <c r="J93" s="55">
        <f>EFEITO!$J$93*EFEITO!$Y$93</f>
        <v>0</v>
      </c>
      <c r="K93" s="55">
        <f ca="1">EFEITO!$L$93*EFEITO!$Z$93</f>
        <v>4923.6274592097961</v>
      </c>
      <c r="L93" s="55">
        <f>EFEITO!$N$93*EFEITO!$AA$93</f>
        <v>327.69027388183491</v>
      </c>
      <c r="M93" s="55">
        <f>$J$93-EFEITO!$K$93*EFEITO!$Y$93</f>
        <v>0</v>
      </c>
      <c r="N93" s="55">
        <f ca="1">$K$93-EFEITO!$M$93*EFEITO!$Z$93</f>
        <v>0</v>
      </c>
      <c r="O93" s="55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35" t="s">
        <v>21</v>
      </c>
      <c r="B94" s="35" t="s">
        <v>37</v>
      </c>
      <c r="C94" s="35" t="s">
        <v>38</v>
      </c>
      <c r="D94" s="35" t="s">
        <v>36</v>
      </c>
      <c r="E94" s="35" t="s">
        <v>25</v>
      </c>
      <c r="F94" s="35" t="s">
        <v>25</v>
      </c>
      <c r="G94" s="35" t="s">
        <v>25</v>
      </c>
      <c r="H94" s="35" t="s">
        <v>39</v>
      </c>
      <c r="I94" s="54">
        <v>44593</v>
      </c>
      <c r="J94" s="55">
        <f>EFEITO!$J$94*EFEITO!$Y$94</f>
        <v>0</v>
      </c>
      <c r="K94" s="55">
        <f ca="1">EFEITO!$L$94*EFEITO!$Z$94</f>
        <v>2154.8700330383836</v>
      </c>
      <c r="L94" s="55">
        <f>EFEITO!$N$94*EFEITO!$AA$94</f>
        <v>143.41660841647735</v>
      </c>
      <c r="M94" s="55">
        <f>$J$94-EFEITO!$K$94*EFEITO!$Y$94</f>
        <v>0</v>
      </c>
      <c r="N94" s="55">
        <f ca="1">$K$94-EFEITO!$M$94*EFEITO!$Z$94</f>
        <v>0</v>
      </c>
      <c r="O94" s="55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35" t="s">
        <v>21</v>
      </c>
      <c r="B95" s="35" t="s">
        <v>37</v>
      </c>
      <c r="C95" s="35" t="s">
        <v>38</v>
      </c>
      <c r="D95" s="35" t="s">
        <v>36</v>
      </c>
      <c r="E95" s="35" t="s">
        <v>25</v>
      </c>
      <c r="F95" s="35" t="s">
        <v>25</v>
      </c>
      <c r="G95" s="35" t="s">
        <v>25</v>
      </c>
      <c r="H95" s="35" t="s">
        <v>39</v>
      </c>
      <c r="I95" s="54">
        <v>44621</v>
      </c>
      <c r="J95" s="55">
        <f>EFEITO!$J$95*EFEITO!$Y$95</f>
        <v>0</v>
      </c>
      <c r="K95" s="55">
        <f ca="1">EFEITO!$L$95*EFEITO!$Z$95</f>
        <v>3412.7127732538129</v>
      </c>
      <c r="L95" s="55">
        <f>EFEITO!$N$95*EFEITO!$AA$95</f>
        <v>227.13188449214206</v>
      </c>
      <c r="M95" s="55">
        <f>$J$95-EFEITO!$K$95*EFEITO!$Y$95</f>
        <v>0</v>
      </c>
      <c r="N95" s="55">
        <f ca="1">$K$95-EFEITO!$M$95*EFEITO!$Z$95</f>
        <v>0</v>
      </c>
      <c r="O95" s="55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35" t="s">
        <v>21</v>
      </c>
      <c r="B96" s="35" t="s">
        <v>37</v>
      </c>
      <c r="C96" s="35" t="s">
        <v>38</v>
      </c>
      <c r="D96" s="35" t="s">
        <v>36</v>
      </c>
      <c r="E96" s="35" t="s">
        <v>25</v>
      </c>
      <c r="F96" s="35" t="s">
        <v>25</v>
      </c>
      <c r="G96" s="35" t="s">
        <v>25</v>
      </c>
      <c r="H96" s="35" t="s">
        <v>39</v>
      </c>
      <c r="I96" s="54">
        <v>44652</v>
      </c>
      <c r="J96" s="55">
        <f>EFEITO!$J$96*EFEITO!$Y$96</f>
        <v>0</v>
      </c>
      <c r="K96" s="55">
        <f ca="1">EFEITO!$L$96*EFEITO!$Z$96</f>
        <v>1811.5942254497111</v>
      </c>
      <c r="L96" s="55">
        <f>EFEITO!$N$96*EFEITO!$AA$96</f>
        <v>120.57000916873619</v>
      </c>
      <c r="M96" s="55">
        <f>$J$96-EFEITO!$K$96*EFEITO!$Y$96</f>
        <v>0</v>
      </c>
      <c r="N96" s="55">
        <f ca="1">$K$96-EFEITO!$M$96*EFEITO!$Z$96</f>
        <v>0</v>
      </c>
      <c r="O96" s="55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35" t="s">
        <v>21</v>
      </c>
      <c r="B97" s="35" t="s">
        <v>37</v>
      </c>
      <c r="C97" s="35" t="s">
        <v>38</v>
      </c>
      <c r="D97" s="35" t="s">
        <v>36</v>
      </c>
      <c r="E97" s="35" t="s">
        <v>25</v>
      </c>
      <c r="F97" s="35" t="s">
        <v>25</v>
      </c>
      <c r="G97" s="35" t="s">
        <v>25</v>
      </c>
      <c r="H97" s="35" t="s">
        <v>39</v>
      </c>
      <c r="I97" s="54">
        <v>44682</v>
      </c>
      <c r="J97" s="55">
        <f>EFEITO!$J$97*EFEITO!$Y$97</f>
        <v>0</v>
      </c>
      <c r="K97" s="55">
        <f ca="1">EFEITO!$L$97*EFEITO!$Z$97</f>
        <v>5176.6994049503492</v>
      </c>
      <c r="L97" s="55">
        <f>EFEITO!$N$97*EFEITO!$AA$97</f>
        <v>344.53338719586304</v>
      </c>
      <c r="M97" s="55">
        <f>$J$97-EFEITO!$K$97*EFEITO!$Y$97</f>
        <v>0</v>
      </c>
      <c r="N97" s="55">
        <f ca="1">$K$97-EFEITO!$M$97*EFEITO!$Z$97</f>
        <v>0</v>
      </c>
      <c r="O97" s="55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35" t="s">
        <v>21</v>
      </c>
      <c r="B98" s="35" t="s">
        <v>37</v>
      </c>
      <c r="C98" s="35" t="s">
        <v>38</v>
      </c>
      <c r="D98" s="35" t="s">
        <v>36</v>
      </c>
      <c r="E98" s="35" t="s">
        <v>25</v>
      </c>
      <c r="F98" s="35" t="s">
        <v>25</v>
      </c>
      <c r="G98" s="35" t="s">
        <v>25</v>
      </c>
      <c r="H98" s="35" t="s">
        <v>39</v>
      </c>
      <c r="I98" s="54">
        <v>44713</v>
      </c>
      <c r="J98" s="55">
        <f>EFEITO!$J$98*EFEITO!$Y$98</f>
        <v>0</v>
      </c>
      <c r="K98" s="55">
        <f ca="1">EFEITO!$L$98*EFEITO!$Z$98</f>
        <v>548.74015957605354</v>
      </c>
      <c r="L98" s="55">
        <f>EFEITO!$N$98*EFEITO!$AA$98</f>
        <v>36.521206096754121</v>
      </c>
      <c r="M98" s="55">
        <f>$J$98-EFEITO!$K$98*EFEITO!$Y$98</f>
        <v>0</v>
      </c>
      <c r="N98" s="55">
        <f ca="1">$K$98-EFEITO!$M$98*EFEITO!$Z$98</f>
        <v>0</v>
      </c>
      <c r="O98" s="55">
        <f>$L$98-EFEITO!$O$98*EFEITO!$AA$98</f>
        <v>0</v>
      </c>
      <c r="P98" s="39"/>
      <c r="Q98" s="39"/>
      <c r="R98" s="39"/>
      <c r="S98" s="39"/>
      <c r="T98" s="39"/>
      <c r="U98" s="39"/>
      <c r="V98" s="39"/>
      <c r="W98" s="39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35" t="s">
        <v>21</v>
      </c>
      <c r="B99" s="35" t="s">
        <v>37</v>
      </c>
      <c r="C99" s="35" t="s">
        <v>38</v>
      </c>
      <c r="D99" s="35" t="s">
        <v>36</v>
      </c>
      <c r="E99" s="35" t="s">
        <v>25</v>
      </c>
      <c r="F99" s="35" t="s">
        <v>25</v>
      </c>
      <c r="G99" s="35" t="s">
        <v>25</v>
      </c>
      <c r="H99" s="35" t="s">
        <v>39</v>
      </c>
      <c r="I99" s="54">
        <v>44743</v>
      </c>
      <c r="J99" s="55">
        <f>EFEITO!$J$99*EFEITO!$Y$99</f>
        <v>0</v>
      </c>
      <c r="K99" s="55">
        <f ca="1">EFEITO!$L$99*EFEITO!$Z$99</f>
        <v>4111.7927025767303</v>
      </c>
      <c r="L99" s="55">
        <f>EFEITO!$N$99*EFEITO!$AA$99</f>
        <v>273.65890047841782</v>
      </c>
      <c r="M99" s="55">
        <f>$J$99-EFEITO!$K$99*EFEITO!$Y$99</f>
        <v>0</v>
      </c>
      <c r="N99" s="55">
        <f ca="1">$K$99-EFEITO!$M$99*EFEITO!$Z$99</f>
        <v>0</v>
      </c>
      <c r="O99" s="55">
        <f>$L$99-EFEITO!$O$99*EFEITO!$AA$99</f>
        <v>0</v>
      </c>
      <c r="P99" s="39"/>
      <c r="Q99" s="39"/>
      <c r="R99" s="39"/>
      <c r="S99" s="39"/>
      <c r="T99" s="39"/>
      <c r="U99" s="39"/>
      <c r="V99" s="39"/>
      <c r="W99" s="39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35" t="s">
        <v>21</v>
      </c>
      <c r="B100" s="35" t="s">
        <v>37</v>
      </c>
      <c r="C100" s="35" t="s">
        <v>38</v>
      </c>
      <c r="D100" s="35" t="s">
        <v>36</v>
      </c>
      <c r="E100" s="35" t="s">
        <v>25</v>
      </c>
      <c r="F100" s="35" t="s">
        <v>25</v>
      </c>
      <c r="G100" s="35" t="s">
        <v>25</v>
      </c>
      <c r="H100" s="35" t="s">
        <v>39</v>
      </c>
      <c r="I100" s="54">
        <v>44774</v>
      </c>
      <c r="J100" s="55">
        <f>EFEITO!$J$100*EFEITO!$Y$100</f>
        <v>0</v>
      </c>
      <c r="K100" s="55">
        <f ca="1">EFEITO!$L$100*EFEITO!$Z$100</f>
        <v>4951.1897503300543</v>
      </c>
      <c r="L100" s="55">
        <f>EFEITO!$N$100*EFEITO!$AA$100</f>
        <v>329.52467236158054</v>
      </c>
      <c r="M100" s="55">
        <f>$J$100-EFEITO!$K$100*EFEITO!$Y$100</f>
        <v>0</v>
      </c>
      <c r="N100" s="55">
        <f ca="1">$K$100-EFEITO!$M$100*EFEITO!$Z$100</f>
        <v>0</v>
      </c>
      <c r="O100" s="55">
        <f>$L$100-EFEITO!$O$100*EFEITO!$AA$100</f>
        <v>0</v>
      </c>
      <c r="P100" s="39"/>
      <c r="Q100" s="39"/>
      <c r="R100" s="39"/>
      <c r="S100" s="39"/>
      <c r="T100" s="39"/>
      <c r="U100" s="39"/>
      <c r="V100" s="39"/>
      <c r="W100" s="39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35" t="s">
        <v>21</v>
      </c>
      <c r="B101" s="35" t="s">
        <v>22</v>
      </c>
      <c r="C101" s="35" t="s">
        <v>33</v>
      </c>
      <c r="D101" s="35" t="s">
        <v>24</v>
      </c>
      <c r="E101" s="35" t="s">
        <v>24</v>
      </c>
      <c r="F101" s="35" t="s">
        <v>25</v>
      </c>
      <c r="G101" s="35" t="s">
        <v>25</v>
      </c>
      <c r="H101" s="35" t="s">
        <v>34</v>
      </c>
      <c r="I101" s="54">
        <v>44440</v>
      </c>
      <c r="J101" s="55">
        <f>EFEITO!$J$101*EFEITO!$Y$101</f>
        <v>0</v>
      </c>
      <c r="K101" s="55">
        <f ca="1">EFEITO!$L$101*EFEITO!$Z$101</f>
        <v>51.659005612723348</v>
      </c>
      <c r="L101" s="55">
        <f>EFEITO!$N$101*EFEITO!$AA$101</f>
        <v>25.01452472380419</v>
      </c>
      <c r="M101" s="55">
        <f>$J$101-EFEITO!$K$101*EFEITO!$Y$101</f>
        <v>0</v>
      </c>
      <c r="N101" s="55">
        <f ca="1">$K$101-EFEITO!$M$101*EFEITO!$Z$101</f>
        <v>0</v>
      </c>
      <c r="O101" s="55">
        <f>$L$101-EFEITO!$O$101*EFEITO!$AA$101</f>
        <v>0</v>
      </c>
      <c r="P101" s="39"/>
      <c r="Q101" s="39"/>
      <c r="R101" s="39"/>
      <c r="S101" s="39"/>
      <c r="T101" s="39"/>
      <c r="U101" s="39"/>
      <c r="V101" s="39"/>
      <c r="W101" s="39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35" t="s">
        <v>21</v>
      </c>
      <c r="B102" s="35" t="s">
        <v>22</v>
      </c>
      <c r="C102" s="35" t="s">
        <v>33</v>
      </c>
      <c r="D102" s="35" t="s">
        <v>24</v>
      </c>
      <c r="E102" s="35" t="s">
        <v>24</v>
      </c>
      <c r="F102" s="35" t="s">
        <v>25</v>
      </c>
      <c r="G102" s="35" t="s">
        <v>25</v>
      </c>
      <c r="H102" s="35" t="s">
        <v>34</v>
      </c>
      <c r="I102" s="54">
        <v>44470</v>
      </c>
      <c r="J102" s="55">
        <f>EFEITO!$J$102*EFEITO!$Y$102</f>
        <v>0</v>
      </c>
      <c r="K102" s="55">
        <f ca="1">EFEITO!$L$102*EFEITO!$Z$102</f>
        <v>264.49410873714356</v>
      </c>
      <c r="L102" s="55">
        <f>EFEITO!$N$102*EFEITO!$AA$102</f>
        <v>128.07436658587747</v>
      </c>
      <c r="M102" s="55">
        <f>$J$102-EFEITO!$K$102*EFEITO!$Y$102</f>
        <v>0</v>
      </c>
      <c r="N102" s="55">
        <f ca="1">$K$102-EFEITO!$M$102*EFEITO!$Z$102</f>
        <v>0</v>
      </c>
      <c r="O102" s="55">
        <f>$L$102-EFEITO!$O$102*EFEITO!$AA$102</f>
        <v>0</v>
      </c>
      <c r="P102" s="39"/>
      <c r="Q102" s="39"/>
      <c r="R102" s="39"/>
      <c r="S102" s="39"/>
      <c r="T102" s="39"/>
      <c r="U102" s="39"/>
      <c r="V102" s="39"/>
      <c r="W102" s="39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35" t="s">
        <v>21</v>
      </c>
      <c r="B103" s="35" t="s">
        <v>22</v>
      </c>
      <c r="C103" s="35" t="s">
        <v>33</v>
      </c>
      <c r="D103" s="35" t="s">
        <v>24</v>
      </c>
      <c r="E103" s="35" t="s">
        <v>24</v>
      </c>
      <c r="F103" s="35" t="s">
        <v>25</v>
      </c>
      <c r="G103" s="35" t="s">
        <v>25</v>
      </c>
      <c r="H103" s="35" t="s">
        <v>34</v>
      </c>
      <c r="I103" s="54">
        <v>44501</v>
      </c>
      <c r="J103" s="55">
        <f>EFEITO!$J$103*EFEITO!$Y$103</f>
        <v>0</v>
      </c>
      <c r="K103" s="55">
        <f ca="1">EFEITO!$L$103*EFEITO!$Z$103</f>
        <v>177.01819256626536</v>
      </c>
      <c r="L103" s="55">
        <f>EFEITO!$N$103*EFEITO!$AA$103</f>
        <v>85.716438053569021</v>
      </c>
      <c r="M103" s="55">
        <f>$J$103-EFEITO!$K$103*EFEITO!$Y$103</f>
        <v>0</v>
      </c>
      <c r="N103" s="55">
        <f ca="1">$K$103-EFEITO!$M$103*EFEITO!$Z$103</f>
        <v>0</v>
      </c>
      <c r="O103" s="55">
        <f>$L$103-EFEITO!$O$103*EFEITO!$AA$103</f>
        <v>0</v>
      </c>
      <c r="P103" s="39"/>
      <c r="Q103" s="39"/>
      <c r="R103" s="39"/>
      <c r="S103" s="39"/>
      <c r="T103" s="39"/>
      <c r="U103" s="39"/>
      <c r="V103" s="39"/>
      <c r="W103" s="39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35" t="s">
        <v>21</v>
      </c>
      <c r="B104" s="35" t="s">
        <v>22</v>
      </c>
      <c r="C104" s="35" t="s">
        <v>33</v>
      </c>
      <c r="D104" s="35" t="s">
        <v>24</v>
      </c>
      <c r="E104" s="35" t="s">
        <v>24</v>
      </c>
      <c r="F104" s="35" t="s">
        <v>25</v>
      </c>
      <c r="G104" s="35" t="s">
        <v>25</v>
      </c>
      <c r="H104" s="35" t="s">
        <v>34</v>
      </c>
      <c r="I104" s="54">
        <v>44531</v>
      </c>
      <c r="J104" s="55">
        <f>EFEITO!$J$104*EFEITO!$Y$104</f>
        <v>0</v>
      </c>
      <c r="K104" s="55">
        <f ca="1">EFEITO!$L$104*EFEITO!$Z$104</f>
        <v>215.2458567196806</v>
      </c>
      <c r="L104" s="55">
        <f>EFEITO!$N$104*EFEITO!$AA$104</f>
        <v>104.22718634918412</v>
      </c>
      <c r="M104" s="55">
        <f>$J$104-EFEITO!$K$104*EFEITO!$Y$104</f>
        <v>0</v>
      </c>
      <c r="N104" s="55">
        <f ca="1">$K$104-EFEITO!$M$104*EFEITO!$Z$104</f>
        <v>0</v>
      </c>
      <c r="O104" s="55">
        <f>$L$104-EFEITO!$O$104*EFEITO!$AA$104</f>
        <v>0</v>
      </c>
      <c r="P104" s="39"/>
      <c r="Q104" s="39"/>
      <c r="R104" s="39"/>
      <c r="S104" s="39"/>
      <c r="T104" s="39"/>
      <c r="U104" s="39"/>
      <c r="V104" s="39"/>
      <c r="W104" s="39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35" t="s">
        <v>21</v>
      </c>
      <c r="B105" s="35" t="s">
        <v>22</v>
      </c>
      <c r="C105" s="35" t="s">
        <v>33</v>
      </c>
      <c r="D105" s="35" t="s">
        <v>24</v>
      </c>
      <c r="E105" s="35" t="s">
        <v>24</v>
      </c>
      <c r="F105" s="35" t="s">
        <v>25</v>
      </c>
      <c r="G105" s="35" t="s">
        <v>25</v>
      </c>
      <c r="H105" s="35" t="s">
        <v>34</v>
      </c>
      <c r="I105" s="54">
        <v>44562</v>
      </c>
      <c r="J105" s="55">
        <f>EFEITO!$J$105*EFEITO!$Y$105</f>
        <v>0</v>
      </c>
      <c r="K105" s="55">
        <f ca="1">EFEITO!$L$105*EFEITO!$Z$105</f>
        <v>480.42875219832712</v>
      </c>
      <c r="L105" s="55">
        <f>EFEITO!$N$105*EFEITO!$AA$105</f>
        <v>232.63507993137898</v>
      </c>
      <c r="M105" s="55">
        <f>$J$105-EFEITO!$K$105*EFEITO!$Y$105</f>
        <v>0</v>
      </c>
      <c r="N105" s="55">
        <f ca="1">$K$105-EFEITO!$M$105*EFEITO!$Z$105</f>
        <v>0</v>
      </c>
      <c r="O105" s="55">
        <f>$L$105-EFEITO!$O$105*EFEITO!$AA$105</f>
        <v>0</v>
      </c>
      <c r="P105" s="39"/>
      <c r="Q105" s="39"/>
      <c r="R105" s="39"/>
      <c r="S105" s="39"/>
      <c r="T105" s="39"/>
      <c r="U105" s="39"/>
      <c r="V105" s="39"/>
      <c r="W105" s="39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35" t="s">
        <v>21</v>
      </c>
      <c r="B106" s="35" t="s">
        <v>22</v>
      </c>
      <c r="C106" s="35" t="s">
        <v>33</v>
      </c>
      <c r="D106" s="35" t="s">
        <v>24</v>
      </c>
      <c r="E106" s="35" t="s">
        <v>24</v>
      </c>
      <c r="F106" s="35" t="s">
        <v>25</v>
      </c>
      <c r="G106" s="35" t="s">
        <v>25</v>
      </c>
      <c r="H106" s="35" t="s">
        <v>34</v>
      </c>
      <c r="I106" s="54">
        <v>44593</v>
      </c>
      <c r="J106" s="55">
        <f>EFEITO!$J$106*EFEITO!$Y$106</f>
        <v>0</v>
      </c>
      <c r="K106" s="55">
        <f ca="1">EFEITO!$L$106*EFEITO!$Z$106</f>
        <v>261.39456840038014</v>
      </c>
      <c r="L106" s="55">
        <f>EFEITO!$N$106*EFEITO!$AA$106</f>
        <v>126.5734951024492</v>
      </c>
      <c r="M106" s="55">
        <f>$J$106-EFEITO!$K$106*EFEITO!$Y$106</f>
        <v>0</v>
      </c>
      <c r="N106" s="55">
        <f ca="1">$K$106-EFEITO!$M$106*EFEITO!$Z$106</f>
        <v>0</v>
      </c>
      <c r="O106" s="55">
        <f>$L$106-EFEITO!$O$106*EFEITO!$AA$106</f>
        <v>0</v>
      </c>
      <c r="P106" s="39"/>
      <c r="Q106" s="39"/>
      <c r="R106" s="39"/>
      <c r="S106" s="39"/>
      <c r="T106" s="39"/>
      <c r="U106" s="39"/>
      <c r="V106" s="39"/>
      <c r="W106" s="39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35" t="s">
        <v>21</v>
      </c>
      <c r="B107" s="35" t="s">
        <v>22</v>
      </c>
      <c r="C107" s="35" t="s">
        <v>33</v>
      </c>
      <c r="D107" s="35" t="s">
        <v>24</v>
      </c>
      <c r="E107" s="35" t="s">
        <v>24</v>
      </c>
      <c r="F107" s="35" t="s">
        <v>25</v>
      </c>
      <c r="G107" s="35" t="s">
        <v>25</v>
      </c>
      <c r="H107" s="35" t="s">
        <v>34</v>
      </c>
      <c r="I107" s="54">
        <v>44621</v>
      </c>
      <c r="J107" s="55">
        <f>EFEITO!$J$107*EFEITO!$Y$107</f>
        <v>0</v>
      </c>
      <c r="K107" s="55">
        <f ca="1">EFEITO!$L$107*EFEITO!$Z$107</f>
        <v>222.13372413471041</v>
      </c>
      <c r="L107" s="55">
        <f>EFEITO!$N$107*EFEITO!$AA$107</f>
        <v>107.56245631235802</v>
      </c>
      <c r="M107" s="55">
        <f>$J$107-EFEITO!$K$107*EFEITO!$Y$107</f>
        <v>0</v>
      </c>
      <c r="N107" s="55">
        <f ca="1">$K$107-EFEITO!$M$107*EFEITO!$Z$107</f>
        <v>0</v>
      </c>
      <c r="O107" s="55">
        <f>$L$107-EFEITO!$O$107*EFEITO!$AA$107</f>
        <v>0</v>
      </c>
      <c r="P107" s="39"/>
      <c r="Q107" s="39"/>
      <c r="R107" s="39"/>
      <c r="S107" s="39"/>
      <c r="T107" s="39"/>
      <c r="U107" s="39"/>
      <c r="V107" s="39"/>
      <c r="W107" s="39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35" t="s">
        <v>21</v>
      </c>
      <c r="B108" s="35" t="s">
        <v>22</v>
      </c>
      <c r="C108" s="35" t="s">
        <v>33</v>
      </c>
      <c r="D108" s="35" t="s">
        <v>24</v>
      </c>
      <c r="E108" s="35" t="s">
        <v>24</v>
      </c>
      <c r="F108" s="35" t="s">
        <v>25</v>
      </c>
      <c r="G108" s="35" t="s">
        <v>25</v>
      </c>
      <c r="H108" s="35" t="s">
        <v>34</v>
      </c>
      <c r="I108" s="54">
        <v>44652</v>
      </c>
      <c r="J108" s="55">
        <f>EFEITO!$J$108*EFEITO!$Y$108</f>
        <v>0</v>
      </c>
      <c r="K108" s="55">
        <f ca="1">EFEITO!$L$108*EFEITO!$Z$108</f>
        <v>294.11193862177157</v>
      </c>
      <c r="L108" s="55">
        <f>EFEITO!$N$108*EFEITO!$AA$108</f>
        <v>142.41602742752519</v>
      </c>
      <c r="M108" s="55">
        <f>$J$108-EFEITO!$K$108*EFEITO!$Y$108</f>
        <v>0</v>
      </c>
      <c r="N108" s="55">
        <f ca="1">$K$108-EFEITO!$M$108*EFEITO!$Z$108</f>
        <v>0</v>
      </c>
      <c r="O108" s="55">
        <f>$L$108-EFEITO!$O$108*EFEITO!$AA$108</f>
        <v>0</v>
      </c>
      <c r="P108" s="39"/>
      <c r="Q108" s="39"/>
      <c r="R108" s="39"/>
      <c r="S108" s="39"/>
      <c r="T108" s="39"/>
      <c r="U108" s="39"/>
      <c r="V108" s="39"/>
      <c r="W108" s="39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35" t="s">
        <v>21</v>
      </c>
      <c r="B109" s="35" t="s">
        <v>22</v>
      </c>
      <c r="C109" s="35" t="s">
        <v>33</v>
      </c>
      <c r="D109" s="35" t="s">
        <v>24</v>
      </c>
      <c r="E109" s="35" t="s">
        <v>24</v>
      </c>
      <c r="F109" s="35" t="s">
        <v>25</v>
      </c>
      <c r="G109" s="35" t="s">
        <v>25</v>
      </c>
      <c r="H109" s="35" t="s">
        <v>34</v>
      </c>
      <c r="I109" s="54">
        <v>44682</v>
      </c>
      <c r="J109" s="55">
        <f>EFEITO!$J$109*EFEITO!$Y$109</f>
        <v>0</v>
      </c>
      <c r="K109" s="55">
        <f ca="1">EFEITO!$L$109*EFEITO!$Z$109</f>
        <v>330.27324255067794</v>
      </c>
      <c r="L109" s="55">
        <f>EFEITO!$N$109*EFEITO!$AA$109</f>
        <v>159.92619473418813</v>
      </c>
      <c r="M109" s="55">
        <f>$J$109-EFEITO!$K$109*EFEITO!$Y$109</f>
        <v>0</v>
      </c>
      <c r="N109" s="55">
        <f ca="1">$K$109-EFEITO!$M$109*EFEITO!$Z$109</f>
        <v>0</v>
      </c>
      <c r="O109" s="55">
        <f>$L$109-EFEITO!$O$109*EFEITO!$AA$109</f>
        <v>0</v>
      </c>
      <c r="P109" s="39"/>
      <c r="Q109" s="39"/>
      <c r="R109" s="39"/>
      <c r="S109" s="39"/>
      <c r="T109" s="39"/>
      <c r="U109" s="39"/>
      <c r="V109" s="39"/>
      <c r="W109" s="39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35" t="s">
        <v>21</v>
      </c>
      <c r="B110" s="35" t="s">
        <v>22</v>
      </c>
      <c r="C110" s="35" t="s">
        <v>33</v>
      </c>
      <c r="D110" s="35" t="s">
        <v>24</v>
      </c>
      <c r="E110" s="35" t="s">
        <v>24</v>
      </c>
      <c r="F110" s="35" t="s">
        <v>25</v>
      </c>
      <c r="G110" s="35" t="s">
        <v>25</v>
      </c>
      <c r="H110" s="35" t="s">
        <v>34</v>
      </c>
      <c r="I110" s="54">
        <v>44713</v>
      </c>
      <c r="J110" s="55">
        <f>EFEITO!$J$110*EFEITO!$Y$110</f>
        <v>0</v>
      </c>
      <c r="K110" s="55">
        <f ca="1">EFEITO!$L$110*EFEITO!$Z$110</f>
        <v>250.37398053633248</v>
      </c>
      <c r="L110" s="55">
        <f>EFEITO!$N$110*EFEITO!$AA$110</f>
        <v>121.23706316137097</v>
      </c>
      <c r="M110" s="55">
        <f>$J$110-EFEITO!$K$110*EFEITO!$Y$110</f>
        <v>0</v>
      </c>
      <c r="N110" s="55">
        <f ca="1">$K$110-EFEITO!$M$110*EFEITO!$Z$110</f>
        <v>0</v>
      </c>
      <c r="O110" s="55">
        <f>$L$110-EFEITO!$O$110*EFEITO!$AA$110</f>
        <v>0</v>
      </c>
      <c r="P110" s="39"/>
      <c r="Q110" s="39"/>
      <c r="R110" s="39"/>
      <c r="S110" s="39"/>
      <c r="T110" s="39"/>
      <c r="U110" s="39"/>
      <c r="V110" s="39"/>
      <c r="W110" s="39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35" t="s">
        <v>21</v>
      </c>
      <c r="B111" s="35" t="s">
        <v>22</v>
      </c>
      <c r="C111" s="35" t="s">
        <v>33</v>
      </c>
      <c r="D111" s="35" t="s">
        <v>24</v>
      </c>
      <c r="E111" s="35" t="s">
        <v>24</v>
      </c>
      <c r="F111" s="35" t="s">
        <v>25</v>
      </c>
      <c r="G111" s="35" t="s">
        <v>25</v>
      </c>
      <c r="H111" s="35" t="s">
        <v>34</v>
      </c>
      <c r="I111" s="54">
        <v>44743</v>
      </c>
      <c r="J111" s="55">
        <f>EFEITO!$J$111*EFEITO!$Y$111</f>
        <v>0</v>
      </c>
      <c r="K111" s="55">
        <f ca="1">EFEITO!$L$111*EFEITO!$Z$111</f>
        <v>201.47012188962105</v>
      </c>
      <c r="L111" s="55">
        <f>EFEITO!$N$111*EFEITO!$AA$111</f>
        <v>97.556646422836337</v>
      </c>
      <c r="M111" s="55">
        <f>$J$111-EFEITO!$K$111*EFEITO!$Y$111</f>
        <v>0</v>
      </c>
      <c r="N111" s="55">
        <f ca="1">$K$111-EFEITO!$M$111*EFEITO!$Z$111</f>
        <v>0</v>
      </c>
      <c r="O111" s="55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35" t="s">
        <v>21</v>
      </c>
      <c r="B112" s="35" t="s">
        <v>22</v>
      </c>
      <c r="C112" s="35" t="s">
        <v>33</v>
      </c>
      <c r="D112" s="35" t="s">
        <v>24</v>
      </c>
      <c r="E112" s="35" t="s">
        <v>24</v>
      </c>
      <c r="F112" s="35" t="s">
        <v>25</v>
      </c>
      <c r="G112" s="35" t="s">
        <v>25</v>
      </c>
      <c r="H112" s="35" t="s">
        <v>34</v>
      </c>
      <c r="I112" s="54">
        <v>44774</v>
      </c>
      <c r="J112" s="55">
        <f>EFEITO!$J$112*EFEITO!$Y$112</f>
        <v>0</v>
      </c>
      <c r="K112" s="55">
        <f ca="1">EFEITO!$L$112*EFEITO!$Z$112</f>
        <v>234.18749211101252</v>
      </c>
      <c r="L112" s="55">
        <f>EFEITO!$N$112*EFEITO!$AA$112</f>
        <v>113.39917874791234</v>
      </c>
      <c r="M112" s="55">
        <f>$J$112-EFEITO!$K$112*EFEITO!$Y$112</f>
        <v>0</v>
      </c>
      <c r="N112" s="55">
        <f ca="1">$K$112-EFEITO!$M$112*EFEITO!$Z$112</f>
        <v>0</v>
      </c>
      <c r="O112" s="55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35" t="s">
        <v>21</v>
      </c>
      <c r="B113" s="35" t="s">
        <v>22</v>
      </c>
      <c r="C113" s="35" t="s">
        <v>33</v>
      </c>
      <c r="D113" s="35" t="s">
        <v>24</v>
      </c>
      <c r="E113" s="35" t="s">
        <v>24</v>
      </c>
      <c r="F113" s="35" t="s">
        <v>25</v>
      </c>
      <c r="G113" s="35" t="s">
        <v>25</v>
      </c>
      <c r="H113" s="35" t="s">
        <v>42</v>
      </c>
      <c r="I113" s="54">
        <v>44470</v>
      </c>
      <c r="J113" s="55">
        <f>EFEITO!$J$113*EFEITO!$Y$113</f>
        <v>0</v>
      </c>
      <c r="K113" s="55">
        <f ca="1">EFEITO!$L$113*EFEITO!$Z$113</f>
        <v>30.206877793064752</v>
      </c>
      <c r="L113" s="55">
        <f>EFEITO!$N$113*EFEITO!$AA$113</f>
        <v>6.670539926347784</v>
      </c>
      <c r="M113" s="55">
        <f>$J$113-EFEITO!$K$113*EFEITO!$Y$113</f>
        <v>0</v>
      </c>
      <c r="N113" s="55">
        <f ca="1">$K$113-EFEITO!$M$113*EFEITO!$Z$113</f>
        <v>0</v>
      </c>
      <c r="O113" s="55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35" t="s">
        <v>21</v>
      </c>
      <c r="B114" s="35" t="s">
        <v>22</v>
      </c>
      <c r="C114" s="35" t="s">
        <v>33</v>
      </c>
      <c r="D114" s="35" t="s">
        <v>24</v>
      </c>
      <c r="E114" s="35" t="s">
        <v>24</v>
      </c>
      <c r="F114" s="35" t="s">
        <v>25</v>
      </c>
      <c r="G114" s="35" t="s">
        <v>25</v>
      </c>
      <c r="H114" s="35" t="s">
        <v>42</v>
      </c>
      <c r="I114" s="54">
        <v>44501</v>
      </c>
      <c r="J114" s="55">
        <f>EFEITO!$J$114*EFEITO!$Y$114</f>
        <v>0</v>
      </c>
      <c r="K114" s="55">
        <f ca="1">EFEITO!$L$114*EFEITO!$Z$114</f>
        <v>20.389642510318705</v>
      </c>
      <c r="L114" s="55">
        <f>EFEITO!$N$114*EFEITO!$AA$114</f>
        <v>4.5026144502847538</v>
      </c>
      <c r="M114" s="55">
        <f>$J$114-EFEITO!$K$114*EFEITO!$Y$114</f>
        <v>0</v>
      </c>
      <c r="N114" s="55">
        <f ca="1">$K$114-EFEITO!$M$114*EFEITO!$Z$114</f>
        <v>0</v>
      </c>
      <c r="O114" s="55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35" t="s">
        <v>21</v>
      </c>
      <c r="B115" s="35" t="s">
        <v>22</v>
      </c>
      <c r="C115" s="35" t="s">
        <v>33</v>
      </c>
      <c r="D115" s="35" t="s">
        <v>24</v>
      </c>
      <c r="E115" s="35" t="s">
        <v>24</v>
      </c>
      <c r="F115" s="35" t="s">
        <v>25</v>
      </c>
      <c r="G115" s="35" t="s">
        <v>25</v>
      </c>
      <c r="H115" s="35" t="s">
        <v>42</v>
      </c>
      <c r="I115" s="54">
        <v>44531</v>
      </c>
      <c r="J115" s="55">
        <f>EFEITO!$J$115*EFEITO!$Y$115</f>
        <v>0</v>
      </c>
      <c r="K115" s="55">
        <f ca="1">EFEITO!$L$115*EFEITO!$Z$115</f>
        <v>26.43101806893166</v>
      </c>
      <c r="L115" s="55">
        <f>EFEITO!$N$115*EFEITO!$AA$115</f>
        <v>5.8367224355543117</v>
      </c>
      <c r="M115" s="55">
        <f>$J$115-EFEITO!$K$115*EFEITO!$Y$115</f>
        <v>0</v>
      </c>
      <c r="N115" s="55">
        <f ca="1">$K$115-EFEITO!$M$115*EFEITO!$Z$115</f>
        <v>0</v>
      </c>
      <c r="O115" s="55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35" t="s">
        <v>21</v>
      </c>
      <c r="B116" s="35" t="s">
        <v>22</v>
      </c>
      <c r="C116" s="35" t="s">
        <v>33</v>
      </c>
      <c r="D116" s="35" t="s">
        <v>24</v>
      </c>
      <c r="E116" s="35" t="s">
        <v>24</v>
      </c>
      <c r="F116" s="35" t="s">
        <v>25</v>
      </c>
      <c r="G116" s="35" t="s">
        <v>25</v>
      </c>
      <c r="H116" s="35" t="s">
        <v>42</v>
      </c>
      <c r="I116" s="54">
        <v>44562</v>
      </c>
      <c r="J116" s="55">
        <f>EFEITO!$J$116*EFEITO!$Y$116</f>
        <v>0</v>
      </c>
      <c r="K116" s="55">
        <f ca="1">EFEITO!$L$116*EFEITO!$Z$116</f>
        <v>38.513769186157553</v>
      </c>
      <c r="L116" s="55">
        <f>EFEITO!$N$116*EFEITO!$AA$116</f>
        <v>8.5049384060934248</v>
      </c>
      <c r="M116" s="55">
        <f>$J$116-EFEITO!$K$116*EFEITO!$Y$116</f>
        <v>0</v>
      </c>
      <c r="N116" s="55">
        <f ca="1">$K$116-EFEITO!$M$116*EFEITO!$Z$116</f>
        <v>0</v>
      </c>
      <c r="O116" s="55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35" t="s">
        <v>21</v>
      </c>
      <c r="B117" s="35" t="s">
        <v>22</v>
      </c>
      <c r="C117" s="35" t="s">
        <v>33</v>
      </c>
      <c r="D117" s="35" t="s">
        <v>24</v>
      </c>
      <c r="E117" s="35" t="s">
        <v>24</v>
      </c>
      <c r="F117" s="35" t="s">
        <v>25</v>
      </c>
      <c r="G117" s="35" t="s">
        <v>25</v>
      </c>
      <c r="H117" s="35" t="s">
        <v>42</v>
      </c>
      <c r="I117" s="54">
        <v>44593</v>
      </c>
      <c r="J117" s="55">
        <f>EFEITO!$J$117*EFEITO!$Y$117</f>
        <v>0</v>
      </c>
      <c r="K117" s="55">
        <f ca="1">EFEITO!$L$117*EFEITO!$Z$117</f>
        <v>9.8172352827460436</v>
      </c>
      <c r="L117" s="55">
        <f>EFEITO!$N$117*EFEITO!$AA$117</f>
        <v>2.1679254760630298</v>
      </c>
      <c r="M117" s="55">
        <f>$J$117-EFEITO!$K$117*EFEITO!$Y$117</f>
        <v>0</v>
      </c>
      <c r="N117" s="55">
        <f ca="1">$K$117-EFEITO!$M$117*EFEITO!$Z$117</f>
        <v>0</v>
      </c>
      <c r="O117" s="55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35" t="s">
        <v>21</v>
      </c>
      <c r="B118" s="35" t="s">
        <v>22</v>
      </c>
      <c r="C118" s="35" t="s">
        <v>33</v>
      </c>
      <c r="D118" s="35" t="s">
        <v>24</v>
      </c>
      <c r="E118" s="35" t="s">
        <v>24</v>
      </c>
      <c r="F118" s="35" t="s">
        <v>25</v>
      </c>
      <c r="G118" s="35" t="s">
        <v>25</v>
      </c>
      <c r="H118" s="35" t="s">
        <v>42</v>
      </c>
      <c r="I118" s="54">
        <v>44652</v>
      </c>
      <c r="J118" s="55">
        <f>EFEITO!$J$118*EFEITO!$Y$118</f>
        <v>0</v>
      </c>
      <c r="K118" s="55">
        <f ca="1">EFEITO!$L$118*EFEITO!$Z$118</f>
        <v>19.634470565492087</v>
      </c>
      <c r="L118" s="55">
        <f>EFEITO!$N$118*EFEITO!$AA$118</f>
        <v>4.3358509521260595</v>
      </c>
      <c r="M118" s="55">
        <f>$J$118-EFEITO!$K$118*EFEITO!$Y$118</f>
        <v>0</v>
      </c>
      <c r="N118" s="55">
        <f ca="1">$K$118-EFEITO!$M$118*EFEITO!$Z$118</f>
        <v>0</v>
      </c>
      <c r="O118" s="55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35" t="s">
        <v>21</v>
      </c>
      <c r="B119" s="35" t="s">
        <v>22</v>
      </c>
      <c r="C119" s="35" t="s">
        <v>33</v>
      </c>
      <c r="D119" s="35" t="s">
        <v>24</v>
      </c>
      <c r="E119" s="35" t="s">
        <v>24</v>
      </c>
      <c r="F119" s="35" t="s">
        <v>25</v>
      </c>
      <c r="G119" s="35" t="s">
        <v>25</v>
      </c>
      <c r="H119" s="35" t="s">
        <v>42</v>
      </c>
      <c r="I119" s="54">
        <v>44682</v>
      </c>
      <c r="J119" s="55">
        <f>EFEITO!$J$119*EFEITO!$Y$119</f>
        <v>0</v>
      </c>
      <c r="K119" s="55">
        <f ca="1">EFEITO!$L$119*EFEITO!$Z$119</f>
        <v>27.186190013758274</v>
      </c>
      <c r="L119" s="55">
        <f>EFEITO!$N$119*EFEITO!$AA$119</f>
        <v>6.0034859337130051</v>
      </c>
      <c r="M119" s="55">
        <f>$J$119-EFEITO!$K$119*EFEITO!$Y$119</f>
        <v>0</v>
      </c>
      <c r="N119" s="55">
        <f ca="1">$K$119-EFEITO!$M$119*EFEITO!$Z$119</f>
        <v>0</v>
      </c>
      <c r="O119" s="55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35" t="s">
        <v>21</v>
      </c>
      <c r="B120" s="35" t="s">
        <v>22</v>
      </c>
      <c r="C120" s="35" t="s">
        <v>33</v>
      </c>
      <c r="D120" s="35" t="s">
        <v>24</v>
      </c>
      <c r="E120" s="35" t="s">
        <v>24</v>
      </c>
      <c r="F120" s="35" t="s">
        <v>25</v>
      </c>
      <c r="G120" s="35" t="s">
        <v>25</v>
      </c>
      <c r="H120" s="35" t="s">
        <v>42</v>
      </c>
      <c r="I120" s="54">
        <v>44713</v>
      </c>
      <c r="J120" s="55">
        <f>EFEITO!$J$120*EFEITO!$Y$120</f>
        <v>0</v>
      </c>
      <c r="K120" s="55">
        <f ca="1">EFEITO!$L$120*EFEITO!$Z$120</f>
        <v>36.248253351677704</v>
      </c>
      <c r="L120" s="55">
        <f>EFEITO!$N$120*EFEITO!$AA$120</f>
        <v>8.0046479116173419</v>
      </c>
      <c r="M120" s="55">
        <f>$J$120-EFEITO!$K$120*EFEITO!$Y$120</f>
        <v>0</v>
      </c>
      <c r="N120" s="55">
        <f ca="1">$K$120-EFEITO!$M$120*EFEITO!$Z$120</f>
        <v>0</v>
      </c>
      <c r="O120" s="55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35" t="s">
        <v>21</v>
      </c>
      <c r="B121" s="35" t="s">
        <v>22</v>
      </c>
      <c r="C121" s="35" t="s">
        <v>33</v>
      </c>
      <c r="D121" s="35" t="s">
        <v>24</v>
      </c>
      <c r="E121" s="35" t="s">
        <v>24</v>
      </c>
      <c r="F121" s="35" t="s">
        <v>25</v>
      </c>
      <c r="G121" s="35" t="s">
        <v>25</v>
      </c>
      <c r="H121" s="35" t="s">
        <v>42</v>
      </c>
      <c r="I121" s="54">
        <v>44743</v>
      </c>
      <c r="J121" s="55">
        <f>EFEITO!$J$121*EFEITO!$Y$121</f>
        <v>0</v>
      </c>
      <c r="K121" s="55">
        <f ca="1">EFEITO!$L$121*EFEITO!$Z$121</f>
        <v>27.186190013758274</v>
      </c>
      <c r="L121" s="55">
        <f>EFEITO!$N$121*EFEITO!$AA$121</f>
        <v>6.0034859337130051</v>
      </c>
      <c r="M121" s="55">
        <f>$J$121-EFEITO!$K$121*EFEITO!$Y$121</f>
        <v>0</v>
      </c>
      <c r="N121" s="55">
        <f ca="1">$K$121-EFEITO!$M$121*EFEITO!$Z$121</f>
        <v>0</v>
      </c>
      <c r="O121" s="55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35" t="s">
        <v>21</v>
      </c>
      <c r="B122" s="35" t="s">
        <v>22</v>
      </c>
      <c r="C122" s="35" t="s">
        <v>33</v>
      </c>
      <c r="D122" s="35" t="s">
        <v>24</v>
      </c>
      <c r="E122" s="35" t="s">
        <v>24</v>
      </c>
      <c r="F122" s="35" t="s">
        <v>25</v>
      </c>
      <c r="G122" s="35" t="s">
        <v>25</v>
      </c>
      <c r="H122" s="35" t="s">
        <v>42</v>
      </c>
      <c r="I122" s="54">
        <v>44774</v>
      </c>
      <c r="J122" s="55">
        <f>EFEITO!$J$122*EFEITO!$Y$122</f>
        <v>0</v>
      </c>
      <c r="K122" s="55">
        <f ca="1">EFEITO!$L$122*EFEITO!$Z$122</f>
        <v>21.144814455145326</v>
      </c>
      <c r="L122" s="55">
        <f>EFEITO!$N$122*EFEITO!$AA$122</f>
        <v>4.669377948443449</v>
      </c>
      <c r="M122" s="55">
        <f>$J$122-EFEITO!$K$122*EFEITO!$Y$122</f>
        <v>0</v>
      </c>
      <c r="N122" s="55">
        <f ca="1">$K$122-EFEITO!$M$122*EFEITO!$Z$122</f>
        <v>0</v>
      </c>
      <c r="O122" s="55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35" t="s">
        <v>21</v>
      </c>
      <c r="B123" s="35" t="s">
        <v>22</v>
      </c>
      <c r="C123" s="35" t="s">
        <v>33</v>
      </c>
      <c r="D123" s="35" t="s">
        <v>24</v>
      </c>
      <c r="E123" s="35" t="s">
        <v>24</v>
      </c>
      <c r="F123" s="35" t="s">
        <v>25</v>
      </c>
      <c r="G123" s="35" t="s">
        <v>25</v>
      </c>
      <c r="H123" s="35" t="s">
        <v>39</v>
      </c>
      <c r="I123" s="54">
        <v>44470</v>
      </c>
      <c r="J123" s="55">
        <f>EFEITO!$J$123*EFEITO!$Y$123</f>
        <v>0</v>
      </c>
      <c r="K123" s="55">
        <f ca="1">EFEITO!$L$123*EFEITO!$Z$123</f>
        <v>76.956840339337717</v>
      </c>
      <c r="L123" s="55">
        <f>EFEITO!$N$123*EFEITO!$AA$123</f>
        <v>11.006390878473844</v>
      </c>
      <c r="M123" s="55">
        <f>$J$123-EFEITO!$K$123*EFEITO!$Y$123</f>
        <v>0</v>
      </c>
      <c r="N123" s="55">
        <f ca="1">$K$123-EFEITO!$M$123*EFEITO!$Z$123</f>
        <v>0</v>
      </c>
      <c r="O123" s="55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35" t="s">
        <v>21</v>
      </c>
      <c r="B124" s="35" t="s">
        <v>22</v>
      </c>
      <c r="C124" s="35" t="s">
        <v>33</v>
      </c>
      <c r="D124" s="35" t="s">
        <v>24</v>
      </c>
      <c r="E124" s="35" t="s">
        <v>24</v>
      </c>
      <c r="F124" s="35" t="s">
        <v>25</v>
      </c>
      <c r="G124" s="35" t="s">
        <v>25</v>
      </c>
      <c r="H124" s="35" t="s">
        <v>39</v>
      </c>
      <c r="I124" s="54">
        <v>44501</v>
      </c>
      <c r="J124" s="55">
        <f>EFEITO!$J$124*EFEITO!$Y$124</f>
        <v>0</v>
      </c>
      <c r="K124" s="55">
        <f ca="1">EFEITO!$L$124*EFEITO!$Z$124</f>
        <v>38.478420169668858</v>
      </c>
      <c r="L124" s="55">
        <f>EFEITO!$N$124*EFEITO!$AA$124</f>
        <v>5.5031954392369222</v>
      </c>
      <c r="M124" s="55">
        <f>$J$124-EFEITO!$K$124*EFEITO!$Y$124</f>
        <v>0</v>
      </c>
      <c r="N124" s="55">
        <f ca="1">$K$124-EFEITO!$M$124*EFEITO!$Z$124</f>
        <v>0</v>
      </c>
      <c r="O124" s="55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35" t="s">
        <v>21</v>
      </c>
      <c r="B125" s="35" t="s">
        <v>22</v>
      </c>
      <c r="C125" s="35" t="s">
        <v>33</v>
      </c>
      <c r="D125" s="35" t="s">
        <v>24</v>
      </c>
      <c r="E125" s="35" t="s">
        <v>24</v>
      </c>
      <c r="F125" s="35" t="s">
        <v>25</v>
      </c>
      <c r="G125" s="35" t="s">
        <v>25</v>
      </c>
      <c r="H125" s="35" t="s">
        <v>39</v>
      </c>
      <c r="I125" s="54">
        <v>44531</v>
      </c>
      <c r="J125" s="55">
        <f>EFEITO!$J$125*EFEITO!$Y$125</f>
        <v>0</v>
      </c>
      <c r="K125" s="55">
        <f ca="1">EFEITO!$L$125*EFEITO!$Z$125</f>
        <v>53.636585691053554</v>
      </c>
      <c r="L125" s="55">
        <f>EFEITO!$N$125*EFEITO!$AA$125</f>
        <v>7.6711209152999515</v>
      </c>
      <c r="M125" s="55">
        <f>$J$125-EFEITO!$K$125*EFEITO!$Y$125</f>
        <v>0</v>
      </c>
      <c r="N125" s="55">
        <f ca="1">$K$125-EFEITO!$M$125*EFEITO!$Z$125</f>
        <v>0</v>
      </c>
      <c r="O125" s="55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35" t="s">
        <v>21</v>
      </c>
      <c r="B126" s="35" t="s">
        <v>22</v>
      </c>
      <c r="C126" s="35" t="s">
        <v>33</v>
      </c>
      <c r="D126" s="35" t="s">
        <v>24</v>
      </c>
      <c r="E126" s="35" t="s">
        <v>24</v>
      </c>
      <c r="F126" s="35" t="s">
        <v>25</v>
      </c>
      <c r="G126" s="35" t="s">
        <v>25</v>
      </c>
      <c r="H126" s="35" t="s">
        <v>39</v>
      </c>
      <c r="I126" s="54">
        <v>44562</v>
      </c>
      <c r="J126" s="55">
        <f>EFEITO!$J$126*EFEITO!$Y$126</f>
        <v>0</v>
      </c>
      <c r="K126" s="55">
        <f ca="1">EFEITO!$L$126*EFEITO!$Z$126</f>
        <v>79.288865804166122</v>
      </c>
      <c r="L126" s="55">
        <f>EFEITO!$N$126*EFEITO!$AA$126</f>
        <v>11.339917874791233</v>
      </c>
      <c r="M126" s="55">
        <f>$J$126-EFEITO!$K$126*EFEITO!$Y$126</f>
        <v>0</v>
      </c>
      <c r="N126" s="55">
        <f ca="1">$K$126-EFEITO!$M$126*EFEITO!$Z$126</f>
        <v>0</v>
      </c>
      <c r="O126" s="55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35" t="s">
        <v>21</v>
      </c>
      <c r="B127" s="35" t="s">
        <v>22</v>
      </c>
      <c r="C127" s="35" t="s">
        <v>33</v>
      </c>
      <c r="D127" s="35" t="s">
        <v>24</v>
      </c>
      <c r="E127" s="35" t="s">
        <v>24</v>
      </c>
      <c r="F127" s="35" t="s">
        <v>25</v>
      </c>
      <c r="G127" s="35" t="s">
        <v>25</v>
      </c>
      <c r="H127" s="35" t="s">
        <v>39</v>
      </c>
      <c r="I127" s="54">
        <v>44593</v>
      </c>
      <c r="J127" s="55">
        <f>EFEITO!$J$127*EFEITO!$Y$127</f>
        <v>0</v>
      </c>
      <c r="K127" s="55">
        <f ca="1">EFEITO!$L$127*EFEITO!$Z$127</f>
        <v>39.644432902083061</v>
      </c>
      <c r="L127" s="55">
        <f>EFEITO!$N$127*EFEITO!$AA$127</f>
        <v>5.6699589373956165</v>
      </c>
      <c r="M127" s="55">
        <f>$J$127-EFEITO!$K$127*EFEITO!$Y$127</f>
        <v>0</v>
      </c>
      <c r="N127" s="55">
        <f ca="1">$K$127-EFEITO!$M$127*EFEITO!$Z$127</f>
        <v>0</v>
      </c>
      <c r="O127" s="55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35" t="s">
        <v>21</v>
      </c>
      <c r="B128" s="35" t="s">
        <v>22</v>
      </c>
      <c r="C128" s="35" t="s">
        <v>33</v>
      </c>
      <c r="D128" s="35" t="s">
        <v>24</v>
      </c>
      <c r="E128" s="35" t="s">
        <v>24</v>
      </c>
      <c r="F128" s="35" t="s">
        <v>25</v>
      </c>
      <c r="G128" s="35" t="s">
        <v>25</v>
      </c>
      <c r="H128" s="35" t="s">
        <v>39</v>
      </c>
      <c r="I128" s="54">
        <v>44621</v>
      </c>
      <c r="J128" s="55">
        <f>EFEITO!$J$128*EFEITO!$Y$128</f>
        <v>0</v>
      </c>
      <c r="K128" s="55">
        <f ca="1">EFEITO!$L$128*EFEITO!$Z$128</f>
        <v>20.988229183455736</v>
      </c>
      <c r="L128" s="55">
        <f>EFEITO!$N$128*EFEITO!$AA$128</f>
        <v>3.0017429668565025</v>
      </c>
      <c r="M128" s="55">
        <f>$J$128-EFEITO!$K$128*EFEITO!$Y$128</f>
        <v>0</v>
      </c>
      <c r="N128" s="55">
        <f ca="1">$K$128-EFEITO!$M$128*EFEITO!$Z$128</f>
        <v>0</v>
      </c>
      <c r="O128" s="55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35" t="s">
        <v>21</v>
      </c>
      <c r="B129" s="35" t="s">
        <v>22</v>
      </c>
      <c r="C129" s="35" t="s">
        <v>33</v>
      </c>
      <c r="D129" s="35" t="s">
        <v>24</v>
      </c>
      <c r="E129" s="35" t="s">
        <v>24</v>
      </c>
      <c r="F129" s="35" t="s">
        <v>25</v>
      </c>
      <c r="G129" s="35" t="s">
        <v>25</v>
      </c>
      <c r="H129" s="35" t="s">
        <v>39</v>
      </c>
      <c r="I129" s="54">
        <v>44652</v>
      </c>
      <c r="J129" s="55">
        <f>EFEITO!$J$129*EFEITO!$Y$129</f>
        <v>0</v>
      </c>
      <c r="K129" s="55">
        <f ca="1">EFEITO!$L$129*EFEITO!$Z$129</f>
        <v>75.7908276069235</v>
      </c>
      <c r="L129" s="55">
        <f>EFEITO!$N$129*EFEITO!$AA$129</f>
        <v>10.83962738031515</v>
      </c>
      <c r="M129" s="55">
        <f>$J$129-EFEITO!$K$129*EFEITO!$Y$129</f>
        <v>0</v>
      </c>
      <c r="N129" s="55">
        <f ca="1">$K$129-EFEITO!$M$129*EFEITO!$Z$129</f>
        <v>0</v>
      </c>
      <c r="O129" s="55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35" t="s">
        <v>21</v>
      </c>
      <c r="B130" s="35" t="s">
        <v>22</v>
      </c>
      <c r="C130" s="35" t="s">
        <v>33</v>
      </c>
      <c r="D130" s="35" t="s">
        <v>24</v>
      </c>
      <c r="E130" s="35" t="s">
        <v>24</v>
      </c>
      <c r="F130" s="35" t="s">
        <v>25</v>
      </c>
      <c r="G130" s="35" t="s">
        <v>25</v>
      </c>
      <c r="H130" s="35" t="s">
        <v>39</v>
      </c>
      <c r="I130" s="54">
        <v>44682</v>
      </c>
      <c r="J130" s="55">
        <f>EFEITO!$J$130*EFEITO!$Y$130</f>
        <v>0</v>
      </c>
      <c r="K130" s="55">
        <f ca="1">EFEITO!$L$130*EFEITO!$Z$130</f>
        <v>111.93722231176393</v>
      </c>
      <c r="L130" s="55">
        <f>EFEITO!$N$130*EFEITO!$AA$130</f>
        <v>16.009295823234684</v>
      </c>
      <c r="M130" s="55">
        <f>$J$130-EFEITO!$K$130*EFEITO!$Y$130</f>
        <v>0</v>
      </c>
      <c r="N130" s="55">
        <f ca="1">$K$130-EFEITO!$M$130*EFEITO!$Z$130</f>
        <v>0</v>
      </c>
      <c r="O130" s="55">
        <f>$L$130-EFEITO!$O$130*EFEITO!$AA$130</f>
        <v>0</v>
      </c>
      <c r="P130" s="39"/>
      <c r="Q130" s="39"/>
      <c r="R130" s="39"/>
      <c r="S130" s="39"/>
      <c r="T130" s="39"/>
      <c r="U130" s="39"/>
      <c r="V130" s="39"/>
      <c r="W130" s="39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35" t="s">
        <v>21</v>
      </c>
      <c r="B131" s="35" t="s">
        <v>22</v>
      </c>
      <c r="C131" s="35" t="s">
        <v>33</v>
      </c>
      <c r="D131" s="35" t="s">
        <v>24</v>
      </c>
      <c r="E131" s="35" t="s">
        <v>24</v>
      </c>
      <c r="F131" s="35" t="s">
        <v>25</v>
      </c>
      <c r="G131" s="35" t="s">
        <v>25</v>
      </c>
      <c r="H131" s="35" t="s">
        <v>39</v>
      </c>
      <c r="I131" s="54">
        <v>44713</v>
      </c>
      <c r="J131" s="55">
        <f>EFEITO!$J$131*EFEITO!$Y$131</f>
        <v>0</v>
      </c>
      <c r="K131" s="55">
        <f ca="1">EFEITO!$L$131*EFEITO!$Z$131</f>
        <v>97.945069522793446</v>
      </c>
      <c r="L131" s="55">
        <f>EFEITO!$N$131*EFEITO!$AA$131</f>
        <v>14.008133845330347</v>
      </c>
      <c r="M131" s="55">
        <f>$J$131-EFEITO!$K$131*EFEITO!$Y$131</f>
        <v>0</v>
      </c>
      <c r="N131" s="55">
        <f ca="1">$K$131-EFEITO!$M$131*EFEITO!$Z$131</f>
        <v>0</v>
      </c>
      <c r="O131" s="55">
        <f>$L$131-EFEITO!$O$131*EFEITO!$AA$131</f>
        <v>0</v>
      </c>
      <c r="P131" s="39"/>
      <c r="Q131" s="39"/>
      <c r="R131" s="39"/>
      <c r="S131" s="39"/>
      <c r="T131" s="39"/>
      <c r="U131" s="39"/>
      <c r="V131" s="39"/>
      <c r="W131" s="39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35" t="s">
        <v>21</v>
      </c>
      <c r="B132" s="35" t="s">
        <v>22</v>
      </c>
      <c r="C132" s="35" t="s">
        <v>33</v>
      </c>
      <c r="D132" s="35" t="s">
        <v>24</v>
      </c>
      <c r="E132" s="35" t="s">
        <v>24</v>
      </c>
      <c r="F132" s="35" t="s">
        <v>25</v>
      </c>
      <c r="G132" s="35" t="s">
        <v>25</v>
      </c>
      <c r="H132" s="35" t="s">
        <v>39</v>
      </c>
      <c r="I132" s="54">
        <v>44743</v>
      </c>
      <c r="J132" s="55">
        <f>EFEITO!$J$132*EFEITO!$Y$132</f>
        <v>0</v>
      </c>
      <c r="K132" s="55">
        <f ca="1">EFEITO!$L$132*EFEITO!$Z$132</f>
        <v>97.945069522793446</v>
      </c>
      <c r="L132" s="55">
        <f>EFEITO!$N$132*EFEITO!$AA$132</f>
        <v>14.008133845330347</v>
      </c>
      <c r="M132" s="55">
        <f>$J$132-EFEITO!$K$132*EFEITO!$Y$132</f>
        <v>0</v>
      </c>
      <c r="N132" s="55">
        <f ca="1">$K$132-EFEITO!$M$132*EFEITO!$Z$132</f>
        <v>0</v>
      </c>
      <c r="O132" s="55">
        <f>$L$132-EFEITO!$O$132*EFEITO!$AA$132</f>
        <v>0</v>
      </c>
      <c r="P132" s="39"/>
      <c r="Q132" s="39"/>
      <c r="R132" s="39"/>
      <c r="S132" s="39"/>
      <c r="T132" s="39"/>
      <c r="U132" s="39"/>
      <c r="V132" s="39"/>
      <c r="W132" s="39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35" t="s">
        <v>21</v>
      </c>
      <c r="B133" s="35" t="s">
        <v>22</v>
      </c>
      <c r="C133" s="35" t="s">
        <v>33</v>
      </c>
      <c r="D133" s="35" t="s">
        <v>24</v>
      </c>
      <c r="E133" s="35" t="s">
        <v>24</v>
      </c>
      <c r="F133" s="35" t="s">
        <v>25</v>
      </c>
      <c r="G133" s="35" t="s">
        <v>25</v>
      </c>
      <c r="H133" s="35" t="s">
        <v>39</v>
      </c>
      <c r="I133" s="54">
        <v>44774</v>
      </c>
      <c r="J133" s="55">
        <f>EFEITO!$J$133*EFEITO!$Y$133</f>
        <v>0</v>
      </c>
      <c r="K133" s="55">
        <f ca="1">EFEITO!$L$133*EFEITO!$Z$133</f>
        <v>86.284942198651365</v>
      </c>
      <c r="L133" s="55">
        <f>EFEITO!$N$133*EFEITO!$AA$133</f>
        <v>12.340498863743401</v>
      </c>
      <c r="M133" s="55">
        <f>$J$133-EFEITO!$K$133*EFEITO!$Y$133</f>
        <v>0</v>
      </c>
      <c r="N133" s="55">
        <f ca="1">$K$133-EFEITO!$M$133*EFEITO!$Z$133</f>
        <v>0</v>
      </c>
      <c r="O133" s="55">
        <f>$L$133-EFEITO!$O$133*EFEITO!$AA$133</f>
        <v>0</v>
      </c>
      <c r="P133" s="39"/>
      <c r="Q133" s="39"/>
      <c r="R133" s="39"/>
      <c r="S133" s="39"/>
      <c r="T133" s="39"/>
      <c r="U133" s="39"/>
      <c r="V133" s="39"/>
      <c r="W133" s="39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35" t="s">
        <v>21</v>
      </c>
      <c r="B134" s="35" t="s">
        <v>22</v>
      </c>
      <c r="C134" s="35" t="s">
        <v>23</v>
      </c>
      <c r="D134" s="35" t="s">
        <v>24</v>
      </c>
      <c r="E134" s="35" t="s">
        <v>24</v>
      </c>
      <c r="F134" s="35" t="s">
        <v>25</v>
      </c>
      <c r="G134" s="35" t="s">
        <v>25</v>
      </c>
      <c r="H134" s="35" t="s">
        <v>25</v>
      </c>
      <c r="I134" s="54">
        <v>44440</v>
      </c>
      <c r="J134" s="55">
        <f>EFEITO!$J$134*EFEITO!$Y$134</f>
        <v>0</v>
      </c>
      <c r="K134" s="55">
        <f ca="1">EFEITO!$L$134*EFEITO!$Z$134</f>
        <v>633249.52764316509</v>
      </c>
      <c r="L134" s="55">
        <f>EFEITO!$N$134*EFEITO!$AA$134</f>
        <v>203371.75480148755</v>
      </c>
      <c r="M134" s="55">
        <f>$J$134-EFEITO!$K$134*EFEITO!$Y$134</f>
        <v>0</v>
      </c>
      <c r="N134" s="55">
        <f ca="1">$K$134-EFEITO!$M$134*EFEITO!$Z$134</f>
        <v>0</v>
      </c>
      <c r="O134" s="55">
        <f>$L$134-EFEITO!$O$134*EFEITO!$AA$134</f>
        <v>0</v>
      </c>
      <c r="P134" s="39"/>
      <c r="Q134" s="39"/>
      <c r="R134" s="39"/>
      <c r="S134" s="39"/>
      <c r="T134" s="39"/>
      <c r="U134" s="39"/>
      <c r="V134" s="39"/>
      <c r="W134" s="39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35" t="s">
        <v>27</v>
      </c>
      <c r="B135" s="35" t="s">
        <v>22</v>
      </c>
      <c r="C135" s="35" t="s">
        <v>23</v>
      </c>
      <c r="D135" s="35" t="s">
        <v>24</v>
      </c>
      <c r="E135" s="35" t="s">
        <v>24</v>
      </c>
      <c r="F135" s="35" t="s">
        <v>25</v>
      </c>
      <c r="G135" s="35" t="s">
        <v>25</v>
      </c>
      <c r="H135" s="35" t="s">
        <v>25</v>
      </c>
      <c r="I135" s="54">
        <v>44440</v>
      </c>
      <c r="J135" s="55">
        <f>EFEITO!$J$135*EFEITO!$Y$135</f>
        <v>0</v>
      </c>
      <c r="K135" s="55">
        <f ca="1">EFEITO!$L$135*EFEITO!$Z$135</f>
        <v>-2167.9123278712595</v>
      </c>
      <c r="L135" s="55">
        <f>EFEITO!$N$135*EFEITO!$AA$135</f>
        <v>-696.23760481254999</v>
      </c>
      <c r="M135" s="55">
        <f>$J$135-EFEITO!$K$135*EFEITO!$Y$135</f>
        <v>0</v>
      </c>
      <c r="N135" s="55">
        <f ca="1">$K$135-EFEITO!$M$135*EFEITO!$Z$135</f>
        <v>0</v>
      </c>
      <c r="O135" s="55">
        <f>$L$135-EFEITO!$O$135*EFEITO!$AA$135</f>
        <v>0</v>
      </c>
      <c r="P135" s="39"/>
      <c r="Q135" s="39"/>
      <c r="R135" s="39"/>
      <c r="S135" s="39"/>
      <c r="T135" s="39"/>
      <c r="U135" s="39"/>
      <c r="V135" s="39"/>
      <c r="W135" s="39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35" t="s">
        <v>28</v>
      </c>
      <c r="B136" s="35" t="s">
        <v>22</v>
      </c>
      <c r="C136" s="35" t="s">
        <v>23</v>
      </c>
      <c r="D136" s="35" t="s">
        <v>24</v>
      </c>
      <c r="E136" s="35" t="s">
        <v>24</v>
      </c>
      <c r="F136" s="35" t="s">
        <v>25</v>
      </c>
      <c r="G136" s="35" t="s">
        <v>25</v>
      </c>
      <c r="H136" s="35" t="s">
        <v>25</v>
      </c>
      <c r="I136" s="54">
        <v>44440</v>
      </c>
      <c r="J136" s="55">
        <f>EFEITO!$J$136*EFEITO!$Y$136</f>
        <v>0</v>
      </c>
      <c r="K136" s="55">
        <f ca="1">EFEITO!$L$136*EFEITO!$Z$136</f>
        <v>4693.5950973960043</v>
      </c>
      <c r="L136" s="55">
        <f>EFEITO!$N$136*EFEITO!$AA$136</f>
        <v>1507.3752598564404</v>
      </c>
      <c r="M136" s="55">
        <f>$J$136-EFEITO!$K$136*EFEITO!$Y$136</f>
        <v>0</v>
      </c>
      <c r="N136" s="55">
        <f ca="1">$K$136-EFEITO!$M$136*EFEITO!$Z$136</f>
        <v>0</v>
      </c>
      <c r="O136" s="55">
        <f>$L$136-EFEITO!$O$136*EFEITO!$AA$136</f>
        <v>0</v>
      </c>
      <c r="P136" s="39"/>
      <c r="Q136" s="39"/>
      <c r="R136" s="39"/>
      <c r="S136" s="39"/>
      <c r="T136" s="39"/>
      <c r="U136" s="39"/>
      <c r="V136" s="39"/>
      <c r="W136" s="39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35" t="s">
        <v>21</v>
      </c>
      <c r="B137" s="35" t="s">
        <v>22</v>
      </c>
      <c r="C137" s="35" t="s">
        <v>23</v>
      </c>
      <c r="D137" s="35" t="s">
        <v>24</v>
      </c>
      <c r="E137" s="35" t="s">
        <v>24</v>
      </c>
      <c r="F137" s="35" t="s">
        <v>25</v>
      </c>
      <c r="G137" s="35" t="s">
        <v>25</v>
      </c>
      <c r="H137" s="35" t="s">
        <v>25</v>
      </c>
      <c r="I137" s="54">
        <v>44470</v>
      </c>
      <c r="J137" s="55">
        <f>EFEITO!$J$137*EFEITO!$Y$137</f>
        <v>0</v>
      </c>
      <c r="K137" s="55">
        <f ca="1">EFEITO!$L$137*EFEITO!$Z$137</f>
        <v>634231.96839150821</v>
      </c>
      <c r="L137" s="55">
        <f>EFEITO!$N$137*EFEITO!$AA$137</f>
        <v>203687.27134000382</v>
      </c>
      <c r="M137" s="55">
        <f>$J$137-EFEITO!$K$137*EFEITO!$Y$137</f>
        <v>0</v>
      </c>
      <c r="N137" s="55">
        <f ca="1">$K$137-EFEITO!$M$137*EFEITO!$Z$137</f>
        <v>0</v>
      </c>
      <c r="O137" s="55">
        <f>$L$137-EFEITO!$O$137*EFEITO!$AA$137</f>
        <v>0</v>
      </c>
      <c r="P137" s="39"/>
      <c r="Q137" s="39"/>
      <c r="R137" s="39"/>
      <c r="S137" s="39"/>
      <c r="T137" s="39"/>
      <c r="U137" s="39"/>
      <c r="V137" s="39"/>
      <c r="W137" s="39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35" t="s">
        <v>27</v>
      </c>
      <c r="B138" s="35" t="s">
        <v>22</v>
      </c>
      <c r="C138" s="35" t="s">
        <v>23</v>
      </c>
      <c r="D138" s="35" t="s">
        <v>24</v>
      </c>
      <c r="E138" s="35" t="s">
        <v>24</v>
      </c>
      <c r="F138" s="35" t="s">
        <v>25</v>
      </c>
      <c r="G138" s="35" t="s">
        <v>25</v>
      </c>
      <c r="H138" s="35" t="s">
        <v>25</v>
      </c>
      <c r="I138" s="54">
        <v>44470</v>
      </c>
      <c r="J138" s="55">
        <f>EFEITO!$J$138*EFEITO!$Y$138</f>
        <v>0</v>
      </c>
      <c r="K138" s="55">
        <f ca="1">EFEITO!$L$138*EFEITO!$Z$138</f>
        <v>-6140.2546771443458</v>
      </c>
      <c r="L138" s="55">
        <f>EFEITO!$N$138*EFEITO!$AA$138</f>
        <v>-1971.9783657265637</v>
      </c>
      <c r="M138" s="55">
        <f>$J$138-EFEITO!$K$138*EFEITO!$Y$138</f>
        <v>0</v>
      </c>
      <c r="N138" s="55">
        <f ca="1">$K$138-EFEITO!$M$138*EFEITO!$Z$138</f>
        <v>0</v>
      </c>
      <c r="O138" s="55">
        <f>$L$138-EFEITO!$O$138*EFEITO!$AA$138</f>
        <v>0</v>
      </c>
      <c r="P138" s="39"/>
      <c r="Q138" s="39"/>
      <c r="R138" s="39"/>
      <c r="S138" s="39"/>
      <c r="T138" s="39"/>
      <c r="U138" s="39"/>
      <c r="V138" s="39"/>
      <c r="W138" s="39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35" t="s">
        <v>28</v>
      </c>
      <c r="B139" s="35" t="s">
        <v>22</v>
      </c>
      <c r="C139" s="35" t="s">
        <v>23</v>
      </c>
      <c r="D139" s="35" t="s">
        <v>24</v>
      </c>
      <c r="E139" s="35" t="s">
        <v>24</v>
      </c>
      <c r="F139" s="35" t="s">
        <v>25</v>
      </c>
      <c r="G139" s="35" t="s">
        <v>25</v>
      </c>
      <c r="H139" s="35" t="s">
        <v>25</v>
      </c>
      <c r="I139" s="54">
        <v>44470</v>
      </c>
      <c r="J139" s="55">
        <f>EFEITO!$J$139*EFEITO!$Y$139</f>
        <v>0</v>
      </c>
      <c r="K139" s="55">
        <f ca="1">EFEITO!$L$139*EFEITO!$Z$139</f>
        <v>5569.5874559873373</v>
      </c>
      <c r="L139" s="55">
        <f>EFEITO!$N$139*EFEITO!$AA$139</f>
        <v>1788.7052812501584</v>
      </c>
      <c r="M139" s="55">
        <f>$J$139-EFEITO!$K$139*EFEITO!$Y$139</f>
        <v>0</v>
      </c>
      <c r="N139" s="55">
        <f ca="1">$K$139-EFEITO!$M$139*EFEITO!$Z$139</f>
        <v>0</v>
      </c>
      <c r="O139" s="55">
        <f>$L$139-EFEITO!$O$139*EFEITO!$AA$139</f>
        <v>0</v>
      </c>
      <c r="P139" s="39"/>
      <c r="Q139" s="39"/>
      <c r="R139" s="39"/>
      <c r="S139" s="39"/>
      <c r="T139" s="39"/>
      <c r="U139" s="39"/>
      <c r="V139" s="39"/>
      <c r="W139" s="39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35" t="s">
        <v>28</v>
      </c>
      <c r="B140" s="35" t="s">
        <v>22</v>
      </c>
      <c r="C140" s="35" t="s">
        <v>23</v>
      </c>
      <c r="D140" s="35" t="s">
        <v>24</v>
      </c>
      <c r="E140" s="35" t="s">
        <v>24</v>
      </c>
      <c r="F140" s="35" t="s">
        <v>25</v>
      </c>
      <c r="G140" s="35" t="s">
        <v>25</v>
      </c>
      <c r="H140" s="35" t="s">
        <v>25</v>
      </c>
      <c r="I140" s="54">
        <v>44470</v>
      </c>
      <c r="J140" s="55">
        <f>EFEITO!$J$140*EFEITO!$Y$140</f>
        <v>0</v>
      </c>
      <c r="K140" s="55">
        <f ca="1">EFEITO!$L$140*EFEITO!$Z$140</f>
        <v>-66.984596477938325</v>
      </c>
      <c r="L140" s="55">
        <f>EFEITO!$N$140*EFEITO!$AA$140</f>
        <v>-21.512491262471606</v>
      </c>
      <c r="M140" s="55">
        <f>$J$140-EFEITO!$K$140*EFEITO!$Y$140</f>
        <v>0</v>
      </c>
      <c r="N140" s="55">
        <f ca="1">$K$140-EFEITO!$M$140*EFEITO!$Z$140</f>
        <v>0</v>
      </c>
      <c r="O140" s="55">
        <f>$L$140-EFEITO!$O$140*EFEITO!$AA$140</f>
        <v>0</v>
      </c>
      <c r="P140" s="39"/>
      <c r="Q140" s="39"/>
      <c r="R140" s="39"/>
      <c r="S140" s="39"/>
      <c r="T140" s="39"/>
      <c r="U140" s="39"/>
      <c r="V140" s="39"/>
      <c r="W140" s="39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35" t="s">
        <v>21</v>
      </c>
      <c r="B141" s="35" t="s">
        <v>22</v>
      </c>
      <c r="C141" s="35" t="s">
        <v>23</v>
      </c>
      <c r="D141" s="35" t="s">
        <v>24</v>
      </c>
      <c r="E141" s="35" t="s">
        <v>24</v>
      </c>
      <c r="F141" s="35" t="s">
        <v>25</v>
      </c>
      <c r="G141" s="35" t="s">
        <v>25</v>
      </c>
      <c r="H141" s="35" t="s">
        <v>25</v>
      </c>
      <c r="I141" s="54">
        <v>44501</v>
      </c>
      <c r="J141" s="55">
        <f>EFEITO!$J$141*EFEITO!$Y$141</f>
        <v>0</v>
      </c>
      <c r="K141" s="55">
        <f ca="1">EFEITO!$L$141*EFEITO!$Z$141</f>
        <v>624482.85367156018</v>
      </c>
      <c r="L141" s="55">
        <f>EFEITO!$N$141*EFEITO!$AA$141</f>
        <v>200556.2866620743</v>
      </c>
      <c r="M141" s="55">
        <f>$J$141-EFEITO!$K$141*EFEITO!$Y$141</f>
        <v>0</v>
      </c>
      <c r="N141" s="55">
        <f ca="1">$K$141-EFEITO!$M$141*EFEITO!$Z$141</f>
        <v>0</v>
      </c>
      <c r="O141" s="55">
        <f>$L$141-EFEITO!$O$141*EFEITO!$AA$141</f>
        <v>0</v>
      </c>
      <c r="P141" s="39"/>
      <c r="Q141" s="39"/>
      <c r="R141" s="39"/>
      <c r="S141" s="39"/>
      <c r="T141" s="39"/>
      <c r="U141" s="39"/>
      <c r="V141" s="39"/>
      <c r="W141" s="39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35" t="s">
        <v>27</v>
      </c>
      <c r="B142" s="35" t="s">
        <v>22</v>
      </c>
      <c r="C142" s="35" t="s">
        <v>23</v>
      </c>
      <c r="D142" s="35" t="s">
        <v>24</v>
      </c>
      <c r="E142" s="35" t="s">
        <v>24</v>
      </c>
      <c r="F142" s="35" t="s">
        <v>25</v>
      </c>
      <c r="G142" s="35" t="s">
        <v>25</v>
      </c>
      <c r="H142" s="35" t="s">
        <v>25</v>
      </c>
      <c r="I142" s="54">
        <v>44501</v>
      </c>
      <c r="J142" s="55">
        <f>EFEITO!$J$142*EFEITO!$Y$142</f>
        <v>0</v>
      </c>
      <c r="K142" s="55">
        <f ca="1">EFEITO!$L$142*EFEITO!$Z$142</f>
        <v>-1475.2189038280837</v>
      </c>
      <c r="L142" s="55">
        <f>EFEITO!$N$142*EFEITO!$AA$142</f>
        <v>-473.77509826885142</v>
      </c>
      <c r="M142" s="55">
        <f>$J$142-EFEITO!$K$142*EFEITO!$Y$142</f>
        <v>0</v>
      </c>
      <c r="N142" s="55">
        <f ca="1">$K$142-EFEITO!$M$142*EFEITO!$Z$142</f>
        <v>0</v>
      </c>
      <c r="O142" s="55">
        <f>$L$142-EFEITO!$O$142*EFEITO!$AA$142</f>
        <v>0</v>
      </c>
      <c r="P142" s="39"/>
      <c r="Q142" s="39"/>
      <c r="R142" s="39"/>
      <c r="S142" s="39"/>
      <c r="T142" s="39"/>
      <c r="U142" s="39"/>
      <c r="V142" s="39"/>
      <c r="W142" s="39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35" t="s">
        <v>28</v>
      </c>
      <c r="B143" s="35" t="s">
        <v>22</v>
      </c>
      <c r="C143" s="35" t="s">
        <v>23</v>
      </c>
      <c r="D143" s="35" t="s">
        <v>24</v>
      </c>
      <c r="E143" s="35" t="s">
        <v>24</v>
      </c>
      <c r="F143" s="35" t="s">
        <v>25</v>
      </c>
      <c r="G143" s="35" t="s">
        <v>25</v>
      </c>
      <c r="H143" s="35" t="s">
        <v>25</v>
      </c>
      <c r="I143" s="54">
        <v>44501</v>
      </c>
      <c r="J143" s="55">
        <f>EFEITO!$J$143*EFEITO!$Y$143</f>
        <v>0</v>
      </c>
      <c r="K143" s="55">
        <f ca="1">EFEITO!$L$143*EFEITO!$Z$143</f>
        <v>4639.5920118634031</v>
      </c>
      <c r="L143" s="55">
        <f>EFEITO!$N$143*EFEITO!$AA$143</f>
        <v>1490.0318560479363</v>
      </c>
      <c r="M143" s="55">
        <f>$J$143-EFEITO!$K$143*EFEITO!$Y$143</f>
        <v>0</v>
      </c>
      <c r="N143" s="55">
        <f ca="1">$K$143-EFEITO!$M$143*EFEITO!$Z$143</f>
        <v>0</v>
      </c>
      <c r="O143" s="55">
        <f>$L$143-EFEITO!$O$143*EFEITO!$AA$143</f>
        <v>0</v>
      </c>
      <c r="P143" s="39"/>
      <c r="Q143" s="39"/>
      <c r="R143" s="39"/>
      <c r="S143" s="39"/>
      <c r="T143" s="39"/>
      <c r="U143" s="39"/>
      <c r="V143" s="39"/>
      <c r="W143" s="39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35" t="s">
        <v>21</v>
      </c>
      <c r="B144" s="35" t="s">
        <v>22</v>
      </c>
      <c r="C144" s="35" t="s">
        <v>23</v>
      </c>
      <c r="D144" s="35" t="s">
        <v>24</v>
      </c>
      <c r="E144" s="35" t="s">
        <v>24</v>
      </c>
      <c r="F144" s="35" t="s">
        <v>25</v>
      </c>
      <c r="G144" s="35" t="s">
        <v>25</v>
      </c>
      <c r="H144" s="35" t="s">
        <v>25</v>
      </c>
      <c r="I144" s="54">
        <v>44531</v>
      </c>
      <c r="J144" s="55">
        <f>EFEITO!$J$144*EFEITO!$Y$144</f>
        <v>0</v>
      </c>
      <c r="K144" s="55">
        <f ca="1">EFEITO!$L$144*EFEITO!$Z$144</f>
        <v>616995.63741872774</v>
      </c>
      <c r="L144" s="55">
        <f>EFEITO!$N$144*EFEITO!$AA$144</f>
        <v>198151.72378212411</v>
      </c>
      <c r="M144" s="55">
        <f>$J$144-EFEITO!$K$144*EFEITO!$Y$144</f>
        <v>0</v>
      </c>
      <c r="N144" s="55">
        <f ca="1">$K$144-EFEITO!$M$144*EFEITO!$Z$144</f>
        <v>0</v>
      </c>
      <c r="O144" s="55">
        <f>$L$144-EFEITO!$O$144*EFEITO!$AA$144</f>
        <v>0</v>
      </c>
      <c r="P144" s="39"/>
      <c r="Q144" s="39"/>
      <c r="R144" s="39"/>
      <c r="S144" s="39"/>
      <c r="T144" s="39"/>
      <c r="U144" s="39"/>
      <c r="V144" s="39"/>
      <c r="W144" s="39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35" t="s">
        <v>27</v>
      </c>
      <c r="B145" s="35" t="s">
        <v>22</v>
      </c>
      <c r="C145" s="35" t="s">
        <v>23</v>
      </c>
      <c r="D145" s="35" t="s">
        <v>24</v>
      </c>
      <c r="E145" s="35" t="s">
        <v>24</v>
      </c>
      <c r="F145" s="35" t="s">
        <v>25</v>
      </c>
      <c r="G145" s="35" t="s">
        <v>25</v>
      </c>
      <c r="H145" s="35" t="s">
        <v>25</v>
      </c>
      <c r="I145" s="54">
        <v>44531</v>
      </c>
      <c r="J145" s="55">
        <f>EFEITO!$J$145*EFEITO!$Y$145</f>
        <v>0</v>
      </c>
      <c r="K145" s="55">
        <f ca="1">EFEITO!$L$145*EFEITO!$Z$145</f>
        <v>-4050.7506753829216</v>
      </c>
      <c r="L145" s="55">
        <f>EFEITO!$N$145*EFEITO!$AA$145</f>
        <v>-1300.9220491359765</v>
      </c>
      <c r="M145" s="55">
        <f>$J$145-EFEITO!$K$145*EFEITO!$Y$145</f>
        <v>0</v>
      </c>
      <c r="N145" s="55">
        <f ca="1">$K$145-EFEITO!$M$145*EFEITO!$Z$145</f>
        <v>0</v>
      </c>
      <c r="O145" s="55">
        <f>$L$145-EFEITO!$O$145*EFEITO!$AA$145</f>
        <v>0</v>
      </c>
      <c r="P145" s="39"/>
      <c r="Q145" s="39"/>
      <c r="R145" s="39"/>
      <c r="S145" s="39"/>
      <c r="T145" s="39"/>
      <c r="U145" s="39"/>
      <c r="V145" s="39"/>
      <c r="W145" s="39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35" t="s">
        <v>28</v>
      </c>
      <c r="B146" s="35" t="s">
        <v>22</v>
      </c>
      <c r="C146" s="35" t="s">
        <v>23</v>
      </c>
      <c r="D146" s="35" t="s">
        <v>24</v>
      </c>
      <c r="E146" s="35" t="s">
        <v>24</v>
      </c>
      <c r="F146" s="35" t="s">
        <v>25</v>
      </c>
      <c r="G146" s="35" t="s">
        <v>25</v>
      </c>
      <c r="H146" s="35" t="s">
        <v>25</v>
      </c>
      <c r="I146" s="54">
        <v>44531</v>
      </c>
      <c r="J146" s="55">
        <f>EFEITO!$J$146*EFEITO!$Y$146</f>
        <v>0</v>
      </c>
      <c r="K146" s="55">
        <f ca="1">EFEITO!$L$146*EFEITO!$Z$146</f>
        <v>3687.2683689134888</v>
      </c>
      <c r="L146" s="55">
        <f>EFEITO!$N$146*EFEITO!$AA$146</f>
        <v>1184.1876004248904</v>
      </c>
      <c r="M146" s="55">
        <f>$J$146-EFEITO!$K$146*EFEITO!$Y$146</f>
        <v>0</v>
      </c>
      <c r="N146" s="55">
        <f ca="1">$K$146-EFEITO!$M$146*EFEITO!$Z$146</f>
        <v>0</v>
      </c>
      <c r="O146" s="55">
        <f>$L$146-EFEITO!$O$146*EFEITO!$AA$146</f>
        <v>0</v>
      </c>
      <c r="P146" s="39"/>
      <c r="Q146" s="39"/>
      <c r="R146" s="39"/>
      <c r="S146" s="39"/>
      <c r="T146" s="39"/>
      <c r="U146" s="39"/>
      <c r="V146" s="39"/>
      <c r="W146" s="39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35" t="s">
        <v>21</v>
      </c>
      <c r="B147" s="35" t="s">
        <v>22</v>
      </c>
      <c r="C147" s="35" t="s">
        <v>23</v>
      </c>
      <c r="D147" s="35" t="s">
        <v>24</v>
      </c>
      <c r="E147" s="35" t="s">
        <v>24</v>
      </c>
      <c r="F147" s="35" t="s">
        <v>25</v>
      </c>
      <c r="G147" s="35" t="s">
        <v>25</v>
      </c>
      <c r="H147" s="35" t="s">
        <v>25</v>
      </c>
      <c r="I147" s="54">
        <v>44562</v>
      </c>
      <c r="J147" s="55">
        <f>EFEITO!$J$147*EFEITO!$Y$147</f>
        <v>0</v>
      </c>
      <c r="K147" s="55">
        <f ca="1">EFEITO!$L$147*EFEITO!$Z$147</f>
        <v>794155.87507105363</v>
      </c>
      <c r="L147" s="55">
        <f>EFEITO!$N$147*EFEITO!$AA$147</f>
        <v>255047.76055691121</v>
      </c>
      <c r="M147" s="55">
        <f>$J$147-EFEITO!$K$147*EFEITO!$Y$147</f>
        <v>0</v>
      </c>
      <c r="N147" s="55">
        <f ca="1">$K$147-EFEITO!$M$147*EFEITO!$Z$147</f>
        <v>0</v>
      </c>
      <c r="O147" s="55">
        <f>$L$147-EFEITO!$O$147*EFEITO!$AA$147</f>
        <v>0</v>
      </c>
      <c r="P147" s="39"/>
      <c r="Q147" s="39"/>
      <c r="R147" s="39"/>
      <c r="S147" s="39"/>
      <c r="T147" s="39"/>
      <c r="U147" s="39"/>
      <c r="V147" s="39"/>
      <c r="W147" s="39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35" t="s">
        <v>27</v>
      </c>
      <c r="B148" s="35" t="s">
        <v>22</v>
      </c>
      <c r="C148" s="35" t="s">
        <v>23</v>
      </c>
      <c r="D148" s="35" t="s">
        <v>24</v>
      </c>
      <c r="E148" s="35" t="s">
        <v>24</v>
      </c>
      <c r="F148" s="35" t="s">
        <v>25</v>
      </c>
      <c r="G148" s="35" t="s">
        <v>25</v>
      </c>
      <c r="H148" s="35" t="s">
        <v>25</v>
      </c>
      <c r="I148" s="54">
        <v>44562</v>
      </c>
      <c r="J148" s="55">
        <f>EFEITO!$J$148*EFEITO!$Y$148</f>
        <v>0</v>
      </c>
      <c r="K148" s="55">
        <f ca="1">EFEITO!$L$148*EFEITO!$Z$148</f>
        <v>-1990.8445185768646</v>
      </c>
      <c r="L148" s="55">
        <f>EFEITO!$N$148*EFEITO!$AA$148</f>
        <v>-639.37125194043517</v>
      </c>
      <c r="M148" s="55">
        <f>$J$148-EFEITO!$K$148*EFEITO!$Y$148</f>
        <v>0</v>
      </c>
      <c r="N148" s="55">
        <f ca="1">$K$148-EFEITO!$M$148*EFEITO!$Z$148</f>
        <v>0</v>
      </c>
      <c r="O148" s="55">
        <f>$L$148-EFEITO!$O$148*EFEITO!$AA$148</f>
        <v>0</v>
      </c>
      <c r="P148" s="39"/>
      <c r="Q148" s="39"/>
      <c r="R148" s="39"/>
      <c r="S148" s="39"/>
      <c r="T148" s="39"/>
      <c r="U148" s="39"/>
      <c r="V148" s="39"/>
      <c r="W148" s="39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35" t="s">
        <v>28</v>
      </c>
      <c r="B149" s="35" t="s">
        <v>22</v>
      </c>
      <c r="C149" s="35" t="s">
        <v>23</v>
      </c>
      <c r="D149" s="35" t="s">
        <v>24</v>
      </c>
      <c r="E149" s="35" t="s">
        <v>24</v>
      </c>
      <c r="F149" s="35" t="s">
        <v>25</v>
      </c>
      <c r="G149" s="35" t="s">
        <v>25</v>
      </c>
      <c r="H149" s="35" t="s">
        <v>25</v>
      </c>
      <c r="I149" s="54">
        <v>44562</v>
      </c>
      <c r="J149" s="55">
        <f>EFEITO!$J$149*EFEITO!$Y$149</f>
        <v>0</v>
      </c>
      <c r="K149" s="55">
        <f ca="1">EFEITO!$L$149*EFEITO!$Z$149</f>
        <v>3533.5672793207</v>
      </c>
      <c r="L149" s="55">
        <f>EFEITO!$N$149*EFEITO!$AA$149</f>
        <v>1134.8256049699166</v>
      </c>
      <c r="M149" s="55">
        <f>$J$149-EFEITO!$K$149*EFEITO!$Y$149</f>
        <v>0</v>
      </c>
      <c r="N149" s="55">
        <f ca="1">$K$149-EFEITO!$M$149*EFEITO!$Z$149</f>
        <v>0</v>
      </c>
      <c r="O149" s="55">
        <f>$L$149-EFEITO!$O$149*EFEITO!$AA$149</f>
        <v>0</v>
      </c>
      <c r="P149" s="39"/>
      <c r="Q149" s="39"/>
      <c r="R149" s="39"/>
      <c r="S149" s="39"/>
      <c r="T149" s="39"/>
      <c r="U149" s="39"/>
      <c r="V149" s="39"/>
      <c r="W149" s="39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35" t="s">
        <v>21</v>
      </c>
      <c r="B150" s="35" t="s">
        <v>22</v>
      </c>
      <c r="C150" s="35" t="s">
        <v>23</v>
      </c>
      <c r="D150" s="35" t="s">
        <v>24</v>
      </c>
      <c r="E150" s="35" t="s">
        <v>24</v>
      </c>
      <c r="F150" s="35" t="s">
        <v>25</v>
      </c>
      <c r="G150" s="35" t="s">
        <v>25</v>
      </c>
      <c r="H150" s="35" t="s">
        <v>25</v>
      </c>
      <c r="I150" s="54">
        <v>44593</v>
      </c>
      <c r="J150" s="55">
        <f>EFEITO!$J$150*EFEITO!$Y$150</f>
        <v>0</v>
      </c>
      <c r="K150" s="55">
        <f ca="1">EFEITO!$L$150*EFEITO!$Z$150</f>
        <v>825556.59226651001</v>
      </c>
      <c r="L150" s="55">
        <f>EFEITO!$N$150*EFEITO!$AA$150</f>
        <v>265132.28281756374</v>
      </c>
      <c r="M150" s="55">
        <f>$J$150-EFEITO!$K$150*EFEITO!$Y$150</f>
        <v>0</v>
      </c>
      <c r="N150" s="55">
        <f ca="1">$K$150-EFEITO!$M$150*EFEITO!$Z$150</f>
        <v>0</v>
      </c>
      <c r="O150" s="55">
        <f>$L$150-EFEITO!$O$150*EFEITO!$AA$150</f>
        <v>0</v>
      </c>
      <c r="P150" s="39"/>
      <c r="Q150" s="39"/>
      <c r="R150" s="39"/>
      <c r="S150" s="39"/>
      <c r="T150" s="39"/>
      <c r="U150" s="39"/>
      <c r="V150" s="39"/>
      <c r="W150" s="39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35" t="s">
        <v>27</v>
      </c>
      <c r="B151" s="35" t="s">
        <v>22</v>
      </c>
      <c r="C151" s="35" t="s">
        <v>23</v>
      </c>
      <c r="D151" s="35" t="s">
        <v>24</v>
      </c>
      <c r="E151" s="35" t="s">
        <v>24</v>
      </c>
      <c r="F151" s="35" t="s">
        <v>25</v>
      </c>
      <c r="G151" s="35" t="s">
        <v>25</v>
      </c>
      <c r="H151" s="35" t="s">
        <v>25</v>
      </c>
      <c r="I151" s="54">
        <v>44593</v>
      </c>
      <c r="J151" s="55">
        <f>EFEITO!$J$151*EFEITO!$Y$151</f>
        <v>0</v>
      </c>
      <c r="K151" s="55">
        <f ca="1">EFEITO!$L$151*EFEITO!$Z$151</f>
        <v>-10922.124048968641</v>
      </c>
      <c r="L151" s="55">
        <f>EFEITO!$N$151*EFEITO!$AA$151</f>
        <v>-3507.703420269982</v>
      </c>
      <c r="M151" s="55">
        <f>$J$151-EFEITO!$K$151*EFEITO!$Y$151</f>
        <v>0</v>
      </c>
      <c r="N151" s="55">
        <f ca="1">$K$151-EFEITO!$M$151*EFEITO!$Z$151</f>
        <v>0</v>
      </c>
      <c r="O151" s="55">
        <f>$L$151-EFEITO!$O$151*EFEITO!$AA$151</f>
        <v>0</v>
      </c>
      <c r="P151" s="39"/>
      <c r="Q151" s="39"/>
      <c r="R151" s="39"/>
      <c r="S151" s="39"/>
      <c r="T151" s="39"/>
      <c r="U151" s="39"/>
      <c r="V151" s="39"/>
      <c r="W151" s="39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35" t="s">
        <v>28</v>
      </c>
      <c r="B152" s="35" t="s">
        <v>22</v>
      </c>
      <c r="C152" s="35" t="s">
        <v>23</v>
      </c>
      <c r="D152" s="35" t="s">
        <v>24</v>
      </c>
      <c r="E152" s="35" t="s">
        <v>24</v>
      </c>
      <c r="F152" s="35" t="s">
        <v>25</v>
      </c>
      <c r="G152" s="35" t="s">
        <v>25</v>
      </c>
      <c r="H152" s="35" t="s">
        <v>25</v>
      </c>
      <c r="I152" s="54">
        <v>44593</v>
      </c>
      <c r="J152" s="55">
        <f>EFEITO!$J$152*EFEITO!$Y$152</f>
        <v>0</v>
      </c>
      <c r="K152" s="55">
        <f ca="1">EFEITO!$L$152*EFEITO!$Z$152</f>
        <v>4738.2514950479626</v>
      </c>
      <c r="L152" s="55">
        <f>EFEITO!$N$152*EFEITO!$AA$152</f>
        <v>1521.7169206980882</v>
      </c>
      <c r="M152" s="55">
        <f>$J$152-EFEITO!$K$152*EFEITO!$Y$152</f>
        <v>0</v>
      </c>
      <c r="N152" s="55">
        <f ca="1">$K$152-EFEITO!$M$152*EFEITO!$Z$152</f>
        <v>0</v>
      </c>
      <c r="O152" s="55">
        <f>$L$152-EFEITO!$O$152*EFEITO!$AA$152</f>
        <v>0</v>
      </c>
      <c r="P152" s="39"/>
      <c r="Q152" s="39"/>
      <c r="R152" s="39"/>
      <c r="S152" s="39"/>
      <c r="T152" s="39"/>
      <c r="U152" s="39"/>
      <c r="V152" s="39"/>
      <c r="W152" s="39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35" t="s">
        <v>28</v>
      </c>
      <c r="B153" s="35" t="s">
        <v>22</v>
      </c>
      <c r="C153" s="35" t="s">
        <v>23</v>
      </c>
      <c r="D153" s="35" t="s">
        <v>24</v>
      </c>
      <c r="E153" s="35" t="s">
        <v>24</v>
      </c>
      <c r="F153" s="35" t="s">
        <v>25</v>
      </c>
      <c r="G153" s="35" t="s">
        <v>25</v>
      </c>
      <c r="H153" s="35" t="s">
        <v>25</v>
      </c>
      <c r="I153" s="54">
        <v>44593</v>
      </c>
      <c r="J153" s="55">
        <f>EFEITO!$J$153*EFEITO!$Y$153</f>
        <v>0</v>
      </c>
      <c r="K153" s="55">
        <f ca="1">EFEITO!$L$153*EFEITO!$Z$153</f>
        <v>8299.8588380105903</v>
      </c>
      <c r="L153" s="55">
        <f>EFEITO!$N$153*EFEITO!$AA$153</f>
        <v>2665.5477545685744</v>
      </c>
      <c r="M153" s="55">
        <f>$J$153-EFEITO!$K$153*EFEITO!$Y$153</f>
        <v>0</v>
      </c>
      <c r="N153" s="55">
        <f ca="1">$K$153-EFEITO!$M$153*EFEITO!$Z$153</f>
        <v>0</v>
      </c>
      <c r="O153" s="55">
        <f>$L$153-EFEITO!$O$153*EFEITO!$AA$153</f>
        <v>0</v>
      </c>
      <c r="P153" s="39"/>
      <c r="Q153" s="39"/>
      <c r="R153" s="39"/>
      <c r="S153" s="39"/>
      <c r="T153" s="39"/>
      <c r="U153" s="39"/>
      <c r="V153" s="39"/>
      <c r="W153" s="39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35" t="s">
        <v>21</v>
      </c>
      <c r="B154" s="35" t="s">
        <v>22</v>
      </c>
      <c r="C154" s="35" t="s">
        <v>23</v>
      </c>
      <c r="D154" s="35" t="s">
        <v>24</v>
      </c>
      <c r="E154" s="35" t="s">
        <v>24</v>
      </c>
      <c r="F154" s="35" t="s">
        <v>25</v>
      </c>
      <c r="G154" s="35" t="s">
        <v>25</v>
      </c>
      <c r="H154" s="35" t="s">
        <v>25</v>
      </c>
      <c r="I154" s="54">
        <v>44621</v>
      </c>
      <c r="J154" s="55">
        <f>EFEITO!$J$154*EFEITO!$Y$154</f>
        <v>0</v>
      </c>
      <c r="K154" s="55">
        <f ca="1">EFEITO!$L$154*EFEITO!$Z$154</f>
        <v>754302.6364688694</v>
      </c>
      <c r="L154" s="55">
        <f>EFEITO!$N$154*EFEITO!$AA$154</f>
        <v>242248.66207323139</v>
      </c>
      <c r="M154" s="55">
        <f>$J$154-EFEITO!$K$154*EFEITO!$Y$154</f>
        <v>0</v>
      </c>
      <c r="N154" s="55">
        <f ca="1">$K$154-EFEITO!$M$154*EFEITO!$Z$154</f>
        <v>0</v>
      </c>
      <c r="O154" s="55">
        <f>$L$154-EFEITO!$O$154*EFEITO!$AA$154</f>
        <v>0</v>
      </c>
      <c r="P154" s="39"/>
      <c r="Q154" s="39"/>
      <c r="R154" s="39"/>
      <c r="S154" s="39"/>
      <c r="T154" s="39"/>
      <c r="U154" s="39"/>
      <c r="V154" s="39"/>
      <c r="W154" s="39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35" t="s">
        <v>27</v>
      </c>
      <c r="B155" s="35" t="s">
        <v>22</v>
      </c>
      <c r="C155" s="35" t="s">
        <v>23</v>
      </c>
      <c r="D155" s="35" t="s">
        <v>24</v>
      </c>
      <c r="E155" s="35" t="s">
        <v>24</v>
      </c>
      <c r="F155" s="35" t="s">
        <v>25</v>
      </c>
      <c r="G155" s="35" t="s">
        <v>25</v>
      </c>
      <c r="H155" s="35" t="s">
        <v>25</v>
      </c>
      <c r="I155" s="54">
        <v>44621</v>
      </c>
      <c r="J155" s="55">
        <f>EFEITO!$J$155*EFEITO!$Y$155</f>
        <v>0</v>
      </c>
      <c r="K155" s="55">
        <f ca="1">EFEITO!$L$155*EFEITO!$Z$155</f>
        <v>-1700.5779338391319</v>
      </c>
      <c r="L155" s="55">
        <f>EFEITO!$N$155*EFEITO!$AA$155</f>
        <v>-546.15045646972476</v>
      </c>
      <c r="M155" s="55">
        <f>$J$155-EFEITO!$K$155*EFEITO!$Y$155</f>
        <v>0</v>
      </c>
      <c r="N155" s="55">
        <f ca="1">$K$155-EFEITO!$M$155*EFEITO!$Z$155</f>
        <v>0</v>
      </c>
      <c r="O155" s="55">
        <f>$L$155-EFEITO!$O$155*EFEITO!$AA$155</f>
        <v>0</v>
      </c>
      <c r="P155" s="39"/>
      <c r="Q155" s="39"/>
      <c r="R155" s="39"/>
      <c r="S155" s="39"/>
      <c r="T155" s="39"/>
      <c r="U155" s="39"/>
      <c r="V155" s="39"/>
      <c r="W155" s="39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35" t="s">
        <v>28</v>
      </c>
      <c r="B156" s="35" t="s">
        <v>22</v>
      </c>
      <c r="C156" s="35" t="s">
        <v>23</v>
      </c>
      <c r="D156" s="35" t="s">
        <v>24</v>
      </c>
      <c r="E156" s="35" t="s">
        <v>24</v>
      </c>
      <c r="F156" s="35" t="s">
        <v>25</v>
      </c>
      <c r="G156" s="35" t="s">
        <v>25</v>
      </c>
      <c r="H156" s="35" t="s">
        <v>25</v>
      </c>
      <c r="I156" s="54">
        <v>44621</v>
      </c>
      <c r="J156" s="55">
        <f>EFEITO!$J$156*EFEITO!$Y$156</f>
        <v>0</v>
      </c>
      <c r="K156" s="55">
        <f ca="1">EFEITO!$L$156*EFEITO!$Z$156</f>
        <v>14893.427877366101</v>
      </c>
      <c r="L156" s="55">
        <f>EFEITO!$N$156*EFEITO!$AA$156</f>
        <v>4783.1106541876779</v>
      </c>
      <c r="M156" s="55">
        <f>$J$156-EFEITO!$K$156*EFEITO!$Y$156</f>
        <v>0</v>
      </c>
      <c r="N156" s="55">
        <f ca="1">$K$156-EFEITO!$M$156*EFEITO!$Z$156</f>
        <v>0</v>
      </c>
      <c r="O156" s="55">
        <f>$L$156-EFEITO!$O$156*EFEITO!$AA$156</f>
        <v>0</v>
      </c>
      <c r="P156" s="39"/>
      <c r="Q156" s="39"/>
      <c r="R156" s="39"/>
      <c r="S156" s="39"/>
      <c r="T156" s="39"/>
      <c r="U156" s="39"/>
      <c r="V156" s="39"/>
      <c r="W156" s="39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35" t="s">
        <v>21</v>
      </c>
      <c r="B157" s="35" t="s">
        <v>22</v>
      </c>
      <c r="C157" s="35" t="s">
        <v>23</v>
      </c>
      <c r="D157" s="35" t="s">
        <v>24</v>
      </c>
      <c r="E157" s="35" t="s">
        <v>24</v>
      </c>
      <c r="F157" s="35" t="s">
        <v>25</v>
      </c>
      <c r="G157" s="35" t="s">
        <v>25</v>
      </c>
      <c r="H157" s="35" t="s">
        <v>25</v>
      </c>
      <c r="I157" s="54">
        <v>44652</v>
      </c>
      <c r="J157" s="55">
        <f>EFEITO!$J$157*EFEITO!$Y$157</f>
        <v>0</v>
      </c>
      <c r="K157" s="55">
        <f ca="1">EFEITO!$L$157*EFEITO!$Z$157</f>
        <v>708778.55462532421</v>
      </c>
      <c r="L157" s="55">
        <f>EFEITO!$N$157*EFEITO!$AA$157</f>
        <v>227628.3394261605</v>
      </c>
      <c r="M157" s="55">
        <f>$J$157-EFEITO!$K$157*EFEITO!$Y$157</f>
        <v>0</v>
      </c>
      <c r="N157" s="55">
        <f ca="1">$K$157-EFEITO!$M$157*EFEITO!$Z$157</f>
        <v>0</v>
      </c>
      <c r="O157" s="55">
        <f>$L$157-EFEITO!$O$157*EFEITO!$AA$157</f>
        <v>0</v>
      </c>
      <c r="P157" s="39"/>
      <c r="Q157" s="39"/>
      <c r="R157" s="39"/>
      <c r="S157" s="39"/>
      <c r="T157" s="39"/>
      <c r="U157" s="39"/>
      <c r="V157" s="39"/>
      <c r="W157" s="39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35" t="s">
        <v>27</v>
      </c>
      <c r="B158" s="35" t="s">
        <v>22</v>
      </c>
      <c r="C158" s="35" t="s">
        <v>23</v>
      </c>
      <c r="D158" s="35" t="s">
        <v>24</v>
      </c>
      <c r="E158" s="35" t="s">
        <v>24</v>
      </c>
      <c r="F158" s="35" t="s">
        <v>25</v>
      </c>
      <c r="G158" s="35" t="s">
        <v>25</v>
      </c>
      <c r="H158" s="35" t="s">
        <v>25</v>
      </c>
      <c r="I158" s="54">
        <v>44652</v>
      </c>
      <c r="J158" s="55">
        <f>EFEITO!$J$158*EFEITO!$Y$158</f>
        <v>0</v>
      </c>
      <c r="K158" s="55">
        <f ca="1">EFEITO!$L$158*EFEITO!$Z$158</f>
        <v>2802.4485828793268</v>
      </c>
      <c r="L158" s="55">
        <f>EFEITO!$N$158*EFEITO!$AA$158</f>
        <v>900.02259956247485</v>
      </c>
      <c r="M158" s="55">
        <f>$J$158-EFEITO!$K$158*EFEITO!$Y$158</f>
        <v>0</v>
      </c>
      <c r="N158" s="55">
        <f ca="1">$K$158-EFEITO!$M$158*EFEITO!$Z$158</f>
        <v>0</v>
      </c>
      <c r="O158" s="55">
        <f>$L$158-EFEITO!$O$158*EFEITO!$AA$158</f>
        <v>0</v>
      </c>
      <c r="P158" s="39"/>
      <c r="Q158" s="39"/>
      <c r="R158" s="39"/>
      <c r="S158" s="39"/>
      <c r="T158" s="39"/>
      <c r="U158" s="39"/>
      <c r="V158" s="39"/>
      <c r="W158" s="39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35" t="s">
        <v>28</v>
      </c>
      <c r="B159" s="35" t="s">
        <v>22</v>
      </c>
      <c r="C159" s="35" t="s">
        <v>23</v>
      </c>
      <c r="D159" s="35" t="s">
        <v>24</v>
      </c>
      <c r="E159" s="35" t="s">
        <v>24</v>
      </c>
      <c r="F159" s="35" t="s">
        <v>25</v>
      </c>
      <c r="G159" s="35" t="s">
        <v>25</v>
      </c>
      <c r="H159" s="35" t="s">
        <v>25</v>
      </c>
      <c r="I159" s="54">
        <v>44652</v>
      </c>
      <c r="J159" s="55">
        <f>EFEITO!$J$159*EFEITO!$Y$159</f>
        <v>0</v>
      </c>
      <c r="K159" s="55">
        <f ca="1">EFEITO!$L$159*EFEITO!$Z$159</f>
        <v>16315.68221653721</v>
      </c>
      <c r="L159" s="55">
        <f>EFEITO!$N$159*EFEITO!$AA$159</f>
        <v>5239.8758756443431</v>
      </c>
      <c r="M159" s="55">
        <f>$J$159-EFEITO!$K$159*EFEITO!$Y$159</f>
        <v>0</v>
      </c>
      <c r="N159" s="55">
        <f ca="1">$K$159-EFEITO!$M$159*EFEITO!$Z$159</f>
        <v>0</v>
      </c>
      <c r="O159" s="55">
        <f>$L$159-EFEITO!$O$159*EFEITO!$AA$159</f>
        <v>0</v>
      </c>
      <c r="P159" s="39"/>
      <c r="Q159" s="39"/>
      <c r="R159" s="39"/>
      <c r="S159" s="39"/>
      <c r="T159" s="39"/>
      <c r="U159" s="39"/>
      <c r="V159" s="39"/>
      <c r="W159" s="39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35" t="s">
        <v>28</v>
      </c>
      <c r="B160" s="35" t="s">
        <v>22</v>
      </c>
      <c r="C160" s="35" t="s">
        <v>23</v>
      </c>
      <c r="D160" s="35" t="s">
        <v>24</v>
      </c>
      <c r="E160" s="35" t="s">
        <v>24</v>
      </c>
      <c r="F160" s="35" t="s">
        <v>25</v>
      </c>
      <c r="G160" s="35" t="s">
        <v>25</v>
      </c>
      <c r="H160" s="35" t="s">
        <v>25</v>
      </c>
      <c r="I160" s="54">
        <v>44652</v>
      </c>
      <c r="J160" s="55">
        <f>EFEITO!$J$160*EFEITO!$Y$160</f>
        <v>0</v>
      </c>
      <c r="K160" s="55">
        <f ca="1">EFEITO!$L$160*EFEITO!$Z$160</f>
        <v>-6419.0975322501827</v>
      </c>
      <c r="L160" s="55">
        <f>EFEITO!$N$160*EFEITO!$AA$160</f>
        <v>-2061.5303642377826</v>
      </c>
      <c r="M160" s="55">
        <f>$J$160-EFEITO!$K$160*EFEITO!$Y$160</f>
        <v>0</v>
      </c>
      <c r="N160" s="55">
        <f ca="1">$K$160-EFEITO!$M$160*EFEITO!$Z$160</f>
        <v>0</v>
      </c>
      <c r="O160" s="55">
        <f>$L$160-EFEITO!$O$160*EFEITO!$AA$160</f>
        <v>0</v>
      </c>
      <c r="P160" s="39"/>
      <c r="Q160" s="39"/>
      <c r="R160" s="39"/>
      <c r="S160" s="39"/>
      <c r="T160" s="39"/>
      <c r="U160" s="39"/>
      <c r="V160" s="39"/>
      <c r="W160" s="39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35" t="s">
        <v>21</v>
      </c>
      <c r="B161" s="35" t="s">
        <v>22</v>
      </c>
      <c r="C161" s="35" t="s">
        <v>23</v>
      </c>
      <c r="D161" s="35" t="s">
        <v>24</v>
      </c>
      <c r="E161" s="35" t="s">
        <v>24</v>
      </c>
      <c r="F161" s="35" t="s">
        <v>25</v>
      </c>
      <c r="G161" s="35" t="s">
        <v>25</v>
      </c>
      <c r="H161" s="35" t="s">
        <v>25</v>
      </c>
      <c r="I161" s="54">
        <v>44682</v>
      </c>
      <c r="J161" s="55">
        <f>EFEITO!$J$161*EFEITO!$Y$161</f>
        <v>0</v>
      </c>
      <c r="K161" s="55">
        <f ca="1">EFEITO!$L$161*EFEITO!$Z$161</f>
        <v>661748.61751211993</v>
      </c>
      <c r="L161" s="55">
        <f>EFEITO!$N$161*EFEITO!$AA$161</f>
        <v>212524.40263442934</v>
      </c>
      <c r="M161" s="55">
        <f>$J$161-EFEITO!$K$161*EFEITO!$Y$161</f>
        <v>0</v>
      </c>
      <c r="N161" s="55">
        <f ca="1">$K$161-EFEITO!$M$161*EFEITO!$Z$161</f>
        <v>0</v>
      </c>
      <c r="O161" s="55">
        <f>$L$161-EFEITO!$O$161*EFEITO!$AA$161</f>
        <v>0</v>
      </c>
      <c r="P161" s="39"/>
      <c r="Q161" s="39"/>
      <c r="R161" s="39"/>
      <c r="S161" s="39"/>
      <c r="T161" s="39"/>
      <c r="U161" s="39"/>
      <c r="V161" s="39"/>
      <c r="W161" s="39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35" t="s">
        <v>27</v>
      </c>
      <c r="B162" s="35" t="s">
        <v>22</v>
      </c>
      <c r="C162" s="35" t="s">
        <v>23</v>
      </c>
      <c r="D162" s="35" t="s">
        <v>24</v>
      </c>
      <c r="E162" s="35" t="s">
        <v>24</v>
      </c>
      <c r="F162" s="35" t="s">
        <v>25</v>
      </c>
      <c r="G162" s="35" t="s">
        <v>25</v>
      </c>
      <c r="H162" s="35" t="s">
        <v>25</v>
      </c>
      <c r="I162" s="54">
        <v>44682</v>
      </c>
      <c r="J162" s="55">
        <f>EFEITO!$J$162*EFEITO!$Y$162</f>
        <v>0</v>
      </c>
      <c r="K162" s="55">
        <f ca="1">EFEITO!$L$162*EFEITO!$Z$162</f>
        <v>-5733.1544938985817</v>
      </c>
      <c r="L162" s="55">
        <f>EFEITO!$N$162*EFEITO!$AA$162</f>
        <v>-1841.2357831701472</v>
      </c>
      <c r="M162" s="55">
        <f>$J$162-EFEITO!$K$162*EFEITO!$Y$162</f>
        <v>0</v>
      </c>
      <c r="N162" s="55">
        <f ca="1">$K$162-EFEITO!$M$162*EFEITO!$Z$162</f>
        <v>0</v>
      </c>
      <c r="O162" s="55">
        <f>$L$162-EFEITO!$O$162*EFEITO!$AA$162</f>
        <v>0</v>
      </c>
      <c r="P162" s="39"/>
      <c r="Q162" s="39"/>
      <c r="R162" s="39"/>
      <c r="S162" s="39"/>
      <c r="T162" s="39"/>
      <c r="U162" s="39"/>
      <c r="V162" s="39"/>
      <c r="W162" s="39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35" t="s">
        <v>28</v>
      </c>
      <c r="B163" s="35" t="s">
        <v>22</v>
      </c>
      <c r="C163" s="35" t="s">
        <v>23</v>
      </c>
      <c r="D163" s="35" t="s">
        <v>24</v>
      </c>
      <c r="E163" s="35" t="s">
        <v>24</v>
      </c>
      <c r="F163" s="35" t="s">
        <v>25</v>
      </c>
      <c r="G163" s="35" t="s">
        <v>25</v>
      </c>
      <c r="H163" s="35" t="s">
        <v>25</v>
      </c>
      <c r="I163" s="54">
        <v>44682</v>
      </c>
      <c r="J163" s="55">
        <f>EFEITO!$J$163*EFEITO!$Y$163</f>
        <v>0</v>
      </c>
      <c r="K163" s="55">
        <f ca="1">EFEITO!$L$163*EFEITO!$Z$163</f>
        <v>6307.4565381202856</v>
      </c>
      <c r="L163" s="55">
        <f>EFEITO!$N$163*EFEITO!$AA$163</f>
        <v>2025.6762121336633</v>
      </c>
      <c r="M163" s="55">
        <f>$J$163-EFEITO!$K$163*EFEITO!$Y$163</f>
        <v>0</v>
      </c>
      <c r="N163" s="55">
        <f ca="1">$K$163-EFEITO!$M$163*EFEITO!$Z$163</f>
        <v>0</v>
      </c>
      <c r="O163" s="55">
        <f>$L$163-EFEITO!$O$163*EFEITO!$AA$163</f>
        <v>0</v>
      </c>
      <c r="P163" s="39"/>
      <c r="Q163" s="39"/>
      <c r="R163" s="39"/>
      <c r="S163" s="39"/>
      <c r="T163" s="39"/>
      <c r="U163" s="39"/>
      <c r="V163" s="39"/>
      <c r="W163" s="39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35" t="s">
        <v>28</v>
      </c>
      <c r="B164" s="35" t="s">
        <v>22</v>
      </c>
      <c r="C164" s="35" t="s">
        <v>23</v>
      </c>
      <c r="D164" s="35" t="s">
        <v>24</v>
      </c>
      <c r="E164" s="35" t="s">
        <v>24</v>
      </c>
      <c r="F164" s="35" t="s">
        <v>25</v>
      </c>
      <c r="G164" s="35" t="s">
        <v>25</v>
      </c>
      <c r="H164" s="35" t="s">
        <v>25</v>
      </c>
      <c r="I164" s="54">
        <v>44682</v>
      </c>
      <c r="J164" s="55">
        <f>EFEITO!$J$164*EFEITO!$Y$164</f>
        <v>0</v>
      </c>
      <c r="K164" s="55">
        <f ca="1">EFEITO!$L$164*EFEITO!$Z$164</f>
        <v>-9112.5014231886798</v>
      </c>
      <c r="L164" s="55">
        <f>EFEITO!$N$164*EFEITO!$AA$164</f>
        <v>-2926.5326291869314</v>
      </c>
      <c r="M164" s="55">
        <f>$J$164-EFEITO!$K$164*EFEITO!$Y$164</f>
        <v>0</v>
      </c>
      <c r="N164" s="55">
        <f ca="1">$K$164-EFEITO!$M$164*EFEITO!$Z$164</f>
        <v>0</v>
      </c>
      <c r="O164" s="55">
        <f>$L$164-EFEITO!$O$164*EFEITO!$AA$164</f>
        <v>0</v>
      </c>
      <c r="P164" s="39"/>
      <c r="Q164" s="39"/>
      <c r="R164" s="39"/>
      <c r="S164" s="39"/>
      <c r="T164" s="39"/>
      <c r="U164" s="39"/>
      <c r="V164" s="39"/>
      <c r="W164" s="39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35" t="s">
        <v>21</v>
      </c>
      <c r="B165" s="35" t="s">
        <v>22</v>
      </c>
      <c r="C165" s="35" t="s">
        <v>23</v>
      </c>
      <c r="D165" s="35" t="s">
        <v>24</v>
      </c>
      <c r="E165" s="35" t="s">
        <v>24</v>
      </c>
      <c r="F165" s="35" t="s">
        <v>25</v>
      </c>
      <c r="G165" s="35" t="s">
        <v>25</v>
      </c>
      <c r="H165" s="35" t="s">
        <v>25</v>
      </c>
      <c r="I165" s="54">
        <v>44713</v>
      </c>
      <c r="J165" s="55">
        <f>EFEITO!$J$165*EFEITO!$Y$165</f>
        <v>0</v>
      </c>
      <c r="K165" s="55">
        <f ca="1">EFEITO!$L$165*EFEITO!$Z$165</f>
        <v>690195.26207685564</v>
      </c>
      <c r="L165" s="55">
        <f>EFEITO!$N$165*EFEITO!$AA$165</f>
        <v>221660.20735405714</v>
      </c>
      <c r="M165" s="55">
        <f>$J$165-EFEITO!$K$165*EFEITO!$Y$165</f>
        <v>0</v>
      </c>
      <c r="N165" s="55">
        <f ca="1">$K$165-EFEITO!$M$165*EFEITO!$Z$165</f>
        <v>0</v>
      </c>
      <c r="O165" s="55">
        <f>$L$165-EFEITO!$O$165*EFEITO!$AA$165</f>
        <v>0</v>
      </c>
      <c r="P165" s="39"/>
      <c r="Q165" s="39"/>
      <c r="R165" s="39"/>
      <c r="S165" s="39"/>
      <c r="T165" s="39"/>
      <c r="U165" s="39"/>
      <c r="V165" s="39"/>
      <c r="W165" s="39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35" t="s">
        <v>27</v>
      </c>
      <c r="B166" s="35" t="s">
        <v>22</v>
      </c>
      <c r="C166" s="35" t="s">
        <v>23</v>
      </c>
      <c r="D166" s="35" t="s">
        <v>24</v>
      </c>
      <c r="E166" s="35" t="s">
        <v>24</v>
      </c>
      <c r="F166" s="35" t="s">
        <v>25</v>
      </c>
      <c r="G166" s="35" t="s">
        <v>25</v>
      </c>
      <c r="H166" s="35" t="s">
        <v>25</v>
      </c>
      <c r="I166" s="54">
        <v>44713</v>
      </c>
      <c r="J166" s="55">
        <f>EFEITO!$J$166*EFEITO!$Y$166</f>
        <v>0</v>
      </c>
      <c r="K166" s="55">
        <f ca="1">EFEITO!$L$166*EFEITO!$Z$166</f>
        <v>-300.13253305618878</v>
      </c>
      <c r="L166" s="55">
        <f>EFEITO!$N$166*EFEITO!$AA$166</f>
        <v>-96.38930193572547</v>
      </c>
      <c r="M166" s="55">
        <f>$J$166-EFEITO!$K$166*EFEITO!$Y$166</f>
        <v>0</v>
      </c>
      <c r="N166" s="55">
        <f ca="1">$K$166-EFEITO!$M$166*EFEITO!$Z$166</f>
        <v>0</v>
      </c>
      <c r="O166" s="55">
        <f>$L$166-EFEITO!$O$166*EFEITO!$AA$166</f>
        <v>0</v>
      </c>
      <c r="P166" s="39"/>
      <c r="Q166" s="39"/>
      <c r="R166" s="39"/>
      <c r="S166" s="39"/>
      <c r="T166" s="39"/>
      <c r="U166" s="39"/>
      <c r="V166" s="39"/>
      <c r="W166" s="39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35" t="s">
        <v>28</v>
      </c>
      <c r="B167" s="35" t="s">
        <v>22</v>
      </c>
      <c r="C167" s="35" t="s">
        <v>23</v>
      </c>
      <c r="D167" s="35" t="s">
        <v>24</v>
      </c>
      <c r="E167" s="35" t="s">
        <v>24</v>
      </c>
      <c r="F167" s="35" t="s">
        <v>25</v>
      </c>
      <c r="G167" s="35" t="s">
        <v>25</v>
      </c>
      <c r="H167" s="35" t="s">
        <v>25</v>
      </c>
      <c r="I167" s="54">
        <v>44713</v>
      </c>
      <c r="J167" s="55">
        <f>EFEITO!$J$167*EFEITO!$Y$167</f>
        <v>0</v>
      </c>
      <c r="K167" s="55">
        <f ca="1">EFEITO!$L$167*EFEITO!$Z$167</f>
        <v>99.698004060187273</v>
      </c>
      <c r="L167" s="55">
        <f>EFEITO!$N$167*EFEITO!$AA$167</f>
        <v>32.018591646469368</v>
      </c>
      <c r="M167" s="55">
        <f>$J$167-EFEITO!$K$167*EFEITO!$Y$167</f>
        <v>0</v>
      </c>
      <c r="N167" s="55">
        <f ca="1">$K$167-EFEITO!$M$167*EFEITO!$Z$167</f>
        <v>0</v>
      </c>
      <c r="O167" s="55">
        <f>$L$167-EFEITO!$O$167*EFEITO!$AA$167</f>
        <v>0</v>
      </c>
      <c r="P167" s="39"/>
      <c r="Q167" s="39"/>
      <c r="R167" s="39"/>
      <c r="S167" s="39"/>
      <c r="T167" s="39"/>
      <c r="U167" s="39"/>
      <c r="V167" s="39"/>
      <c r="W167" s="39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35" t="s">
        <v>21</v>
      </c>
      <c r="B168" s="35" t="s">
        <v>22</v>
      </c>
      <c r="C168" s="35" t="s">
        <v>23</v>
      </c>
      <c r="D168" s="35" t="s">
        <v>24</v>
      </c>
      <c r="E168" s="35" t="s">
        <v>24</v>
      </c>
      <c r="F168" s="35" t="s">
        <v>25</v>
      </c>
      <c r="G168" s="35" t="s">
        <v>25</v>
      </c>
      <c r="H168" s="35" t="s">
        <v>25</v>
      </c>
      <c r="I168" s="54">
        <v>44743</v>
      </c>
      <c r="J168" s="55">
        <f>EFEITO!$J$168*EFEITO!$Y$168</f>
        <v>0</v>
      </c>
      <c r="K168" s="55">
        <f ca="1">EFEITO!$L$168*EFEITO!$Z$168</f>
        <v>594385.99943545344</v>
      </c>
      <c r="L168" s="55">
        <f>EFEITO!$N$168*EFEITO!$AA$168</f>
        <v>190890.50754529823</v>
      </c>
      <c r="M168" s="55">
        <f>$J$168-EFEITO!$K$168*EFEITO!$Y$168</f>
        <v>0</v>
      </c>
      <c r="N168" s="55">
        <f ca="1">$K$168-EFEITO!$M$168*EFEITO!$Z$168</f>
        <v>0</v>
      </c>
      <c r="O168" s="55">
        <f>$L$168-EFEITO!$O$168*EFEITO!$AA$168</f>
        <v>0</v>
      </c>
      <c r="P168" s="39"/>
      <c r="Q168" s="39"/>
      <c r="R168" s="39"/>
      <c r="S168" s="39"/>
      <c r="T168" s="39"/>
      <c r="U168" s="39"/>
      <c r="V168" s="39"/>
      <c r="W168" s="39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35" t="s">
        <v>27</v>
      </c>
      <c r="B169" s="35" t="s">
        <v>22</v>
      </c>
      <c r="C169" s="35" t="s">
        <v>23</v>
      </c>
      <c r="D169" s="35" t="s">
        <v>24</v>
      </c>
      <c r="E169" s="35" t="s">
        <v>24</v>
      </c>
      <c r="F169" s="35" t="s">
        <v>25</v>
      </c>
      <c r="G169" s="35" t="s">
        <v>25</v>
      </c>
      <c r="H169" s="35" t="s">
        <v>25</v>
      </c>
      <c r="I169" s="54">
        <v>44743</v>
      </c>
      <c r="J169" s="55">
        <f>EFEITO!$J$169*EFEITO!$Y$169</f>
        <v>0</v>
      </c>
      <c r="K169" s="55">
        <f ca="1">EFEITO!$L$169*EFEITO!$Z$169</f>
        <v>-669.32670434156978</v>
      </c>
      <c r="L169" s="55">
        <f>EFEITO!$N$169*EFEITO!$AA$169</f>
        <v>-214.95814912655732</v>
      </c>
      <c r="M169" s="55">
        <f>$J$169-EFEITO!$K$169*EFEITO!$Y$169</f>
        <v>0</v>
      </c>
      <c r="N169" s="55">
        <f ca="1">$K$169-EFEITO!$M$169*EFEITO!$Z$169</f>
        <v>0</v>
      </c>
      <c r="O169" s="55">
        <f>$L$169-EFEITO!$O$169*EFEITO!$AA$169</f>
        <v>0</v>
      </c>
      <c r="P169" s="39"/>
      <c r="Q169" s="39"/>
      <c r="R169" s="39"/>
      <c r="S169" s="39"/>
      <c r="T169" s="39"/>
      <c r="U169" s="39"/>
      <c r="V169" s="39"/>
      <c r="W169" s="39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35" t="s">
        <v>28</v>
      </c>
      <c r="B170" s="35" t="s">
        <v>22</v>
      </c>
      <c r="C170" s="35" t="s">
        <v>23</v>
      </c>
      <c r="D170" s="35" t="s">
        <v>24</v>
      </c>
      <c r="E170" s="35" t="s">
        <v>24</v>
      </c>
      <c r="F170" s="35" t="s">
        <v>25</v>
      </c>
      <c r="G170" s="35" t="s">
        <v>25</v>
      </c>
      <c r="H170" s="35" t="s">
        <v>25</v>
      </c>
      <c r="I170" s="54">
        <v>44743</v>
      </c>
      <c r="J170" s="55">
        <f>EFEITO!$J$170*EFEITO!$Y$170</f>
        <v>0</v>
      </c>
      <c r="K170" s="55">
        <f ca="1">EFEITO!$L$170*EFEITO!$Z$170</f>
        <v>11252.373687418012</v>
      </c>
      <c r="L170" s="55">
        <f>EFEITO!$N$170*EFEITO!$AA$170</f>
        <v>3613.7650050989123</v>
      </c>
      <c r="M170" s="55">
        <f>$J$170-EFEITO!$K$170*EFEITO!$Y$170</f>
        <v>0</v>
      </c>
      <c r="N170" s="55">
        <f ca="1">$K$170-EFEITO!$M$170*EFEITO!$Z$170</f>
        <v>0</v>
      </c>
      <c r="O170" s="55">
        <f>$L$170-EFEITO!$O$170*EFEITO!$AA$170</f>
        <v>0</v>
      </c>
      <c r="P170" s="39"/>
      <c r="Q170" s="39"/>
      <c r="R170" s="39"/>
      <c r="S170" s="39"/>
      <c r="T170" s="39"/>
      <c r="U170" s="39"/>
      <c r="V170" s="39"/>
      <c r="W170" s="39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35" t="s">
        <v>21</v>
      </c>
      <c r="B171" s="35" t="s">
        <v>22</v>
      </c>
      <c r="C171" s="35" t="s">
        <v>23</v>
      </c>
      <c r="D171" s="35" t="s">
        <v>24</v>
      </c>
      <c r="E171" s="35" t="s">
        <v>24</v>
      </c>
      <c r="F171" s="35" t="s">
        <v>25</v>
      </c>
      <c r="G171" s="35" t="s">
        <v>25</v>
      </c>
      <c r="H171" s="35" t="s">
        <v>25</v>
      </c>
      <c r="I171" s="54">
        <v>44774</v>
      </c>
      <c r="J171" s="55">
        <f>EFEITO!$J$171*EFEITO!$Y$171</f>
        <v>0</v>
      </c>
      <c r="K171" s="55">
        <f ca="1">EFEITO!$L$171*EFEITO!$Z$171</f>
        <v>702173.56185633678</v>
      </c>
      <c r="L171" s="55">
        <f>EFEITO!$N$171*EFEITO!$AA$171</f>
        <v>225507.10772958188</v>
      </c>
      <c r="M171" s="55">
        <f>$J$171-EFEITO!$K$171*EFEITO!$Y$171</f>
        <v>0</v>
      </c>
      <c r="N171" s="55">
        <f ca="1">$K$171-EFEITO!$M$171*EFEITO!$Z$171</f>
        <v>0</v>
      </c>
      <c r="O171" s="55">
        <f>$L$171-EFEITO!$O$171*EFEITO!$AA$171</f>
        <v>0</v>
      </c>
      <c r="P171" s="39"/>
      <c r="Q171" s="39"/>
      <c r="R171" s="39"/>
      <c r="S171" s="39"/>
      <c r="T171" s="39"/>
      <c r="U171" s="39"/>
      <c r="V171" s="39"/>
      <c r="W171" s="39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35" t="s">
        <v>27</v>
      </c>
      <c r="B172" s="35" t="s">
        <v>22</v>
      </c>
      <c r="C172" s="35" t="s">
        <v>23</v>
      </c>
      <c r="D172" s="35" t="s">
        <v>24</v>
      </c>
      <c r="E172" s="35" t="s">
        <v>24</v>
      </c>
      <c r="F172" s="35" t="s">
        <v>25</v>
      </c>
      <c r="G172" s="35" t="s">
        <v>25</v>
      </c>
      <c r="H172" s="35" t="s">
        <v>25</v>
      </c>
      <c r="I172" s="54">
        <v>44774</v>
      </c>
      <c r="J172" s="55">
        <f>EFEITO!$J$172*EFEITO!$Y$172</f>
        <v>0</v>
      </c>
      <c r="K172" s="55">
        <f ca="1">EFEITO!$L$172*EFEITO!$Z$172</f>
        <v>-63.869033851057473</v>
      </c>
      <c r="L172" s="55">
        <f>EFEITO!$N$172*EFEITO!$AA$172</f>
        <v>-20.511910273519437</v>
      </c>
      <c r="M172" s="55">
        <f>$J$172-EFEITO!$K$172*EFEITO!$Y$172</f>
        <v>0</v>
      </c>
      <c r="N172" s="55">
        <f ca="1">$K$172-EFEITO!$M$172*EFEITO!$Z$172</f>
        <v>0</v>
      </c>
      <c r="O172" s="55">
        <f>$L$172-EFEITO!$O$172*EFEITO!$AA$172</f>
        <v>0</v>
      </c>
      <c r="P172" s="39"/>
      <c r="Q172" s="39"/>
      <c r="R172" s="39"/>
      <c r="S172" s="39"/>
      <c r="T172" s="39"/>
      <c r="U172" s="39"/>
      <c r="V172" s="39"/>
      <c r="W172" s="39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35" t="s">
        <v>28</v>
      </c>
      <c r="B173" s="35" t="s">
        <v>22</v>
      </c>
      <c r="C173" s="35" t="s">
        <v>23</v>
      </c>
      <c r="D173" s="35" t="s">
        <v>24</v>
      </c>
      <c r="E173" s="35" t="s">
        <v>24</v>
      </c>
      <c r="F173" s="35" t="s">
        <v>25</v>
      </c>
      <c r="G173" s="35" t="s">
        <v>25</v>
      </c>
      <c r="H173" s="35" t="s">
        <v>25</v>
      </c>
      <c r="I173" s="54">
        <v>44774</v>
      </c>
      <c r="J173" s="55">
        <f>EFEITO!$J$173*EFEITO!$Y$173</f>
        <v>0</v>
      </c>
      <c r="K173" s="55">
        <f ca="1">EFEITO!$L$173*EFEITO!$Z$173</f>
        <v>10593.432191832711</v>
      </c>
      <c r="L173" s="55">
        <f>EFEITO!$N$173*EFEITO!$AA$173</f>
        <v>3402.1421259355284</v>
      </c>
      <c r="M173" s="55">
        <f>$J$173-EFEITO!$K$173*EFEITO!$Y$173</f>
        <v>0</v>
      </c>
      <c r="N173" s="55">
        <f ca="1">$K$173-EFEITO!$M$173*EFEITO!$Z$173</f>
        <v>0</v>
      </c>
      <c r="O173" s="55">
        <f>$L$173-EFEITO!$O$173*EFEITO!$AA$173</f>
        <v>0</v>
      </c>
      <c r="P173" s="39"/>
      <c r="Q173" s="39"/>
      <c r="R173" s="39"/>
      <c r="S173" s="39"/>
      <c r="T173" s="39"/>
      <c r="U173" s="39"/>
      <c r="V173" s="39"/>
      <c r="W173" s="39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35" t="s">
        <v>21</v>
      </c>
      <c r="B174" s="35" t="s">
        <v>22</v>
      </c>
      <c r="C174" s="35" t="s">
        <v>23</v>
      </c>
      <c r="D174" s="35" t="s">
        <v>24</v>
      </c>
      <c r="E174" s="35" t="s">
        <v>29</v>
      </c>
      <c r="F174" s="35" t="s">
        <v>25</v>
      </c>
      <c r="G174" s="35" t="s">
        <v>25</v>
      </c>
      <c r="H174" s="35" t="s">
        <v>25</v>
      </c>
      <c r="I174" s="54">
        <v>44440</v>
      </c>
      <c r="J174" s="55">
        <f>EFEITO!$J$174*EFEITO!$Y$134</f>
        <v>0</v>
      </c>
      <c r="K174" s="55">
        <f ca="1">EFEITO!$L$174*EFEITO!$Z$224</f>
        <v>2490.1655713016016</v>
      </c>
      <c r="L174" s="55">
        <f>EFEITO!$N$174*EFEITO!$AA$224</f>
        <v>1005.5838938969285</v>
      </c>
      <c r="M174" s="55">
        <f>$J$174-EFEITO!$K$174*EFEITO!$Y$174</f>
        <v>0</v>
      </c>
      <c r="N174" s="55">
        <f ca="1">$K$174-EFEITO!$M$174*EFEITO!$Z$174</f>
        <v>1618.607621346041</v>
      </c>
      <c r="O174" s="55">
        <f>$L$174-EFEITO!$O$174*EFEITO!$AA$174</f>
        <v>653.62953103300356</v>
      </c>
      <c r="P174" s="39"/>
      <c r="Q174" s="39"/>
      <c r="R174" s="39"/>
      <c r="S174" s="39"/>
      <c r="T174" s="39"/>
      <c r="U174" s="39"/>
      <c r="V174" s="39"/>
      <c r="W174" s="39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35" t="s">
        <v>21</v>
      </c>
      <c r="B175" s="35" t="s">
        <v>22</v>
      </c>
      <c r="C175" s="35" t="s">
        <v>23</v>
      </c>
      <c r="D175" s="35" t="s">
        <v>24</v>
      </c>
      <c r="E175" s="35" t="s">
        <v>29</v>
      </c>
      <c r="F175" s="35" t="s">
        <v>25</v>
      </c>
      <c r="G175" s="35" t="s">
        <v>25</v>
      </c>
      <c r="H175" s="35" t="s">
        <v>25</v>
      </c>
      <c r="I175" s="54">
        <v>44470</v>
      </c>
      <c r="J175" s="55">
        <f>EFEITO!$J$175*EFEITO!$Y$134</f>
        <v>0</v>
      </c>
      <c r="K175" s="55">
        <f ca="1">EFEITO!$L$175*EFEITO!$Z$224</f>
        <v>2477.7766878622901</v>
      </c>
      <c r="L175" s="55">
        <f>EFEITO!$N$175*EFEITO!$AA$224</f>
        <v>1000.5809889521677</v>
      </c>
      <c r="M175" s="55">
        <f>$J$175-EFEITO!$K$175*EFEITO!$Y$175</f>
        <v>0</v>
      </c>
      <c r="N175" s="55">
        <f ca="1">$K$175-EFEITO!$M$175*EFEITO!$Z$175</f>
        <v>1610.5548471104887</v>
      </c>
      <c r="O175" s="55">
        <f>$L$175-EFEITO!$O$175*EFEITO!$AA$175</f>
        <v>650.37764281890895</v>
      </c>
      <c r="P175" s="39"/>
      <c r="Q175" s="39"/>
      <c r="R175" s="39"/>
      <c r="S175" s="39"/>
      <c r="T175" s="39"/>
      <c r="U175" s="39"/>
      <c r="V175" s="39"/>
      <c r="W175" s="39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35" t="s">
        <v>21</v>
      </c>
      <c r="B176" s="35" t="s">
        <v>22</v>
      </c>
      <c r="C176" s="35" t="s">
        <v>23</v>
      </c>
      <c r="D176" s="35" t="s">
        <v>24</v>
      </c>
      <c r="E176" s="35" t="s">
        <v>29</v>
      </c>
      <c r="F176" s="35" t="s">
        <v>25</v>
      </c>
      <c r="G176" s="35" t="s">
        <v>25</v>
      </c>
      <c r="H176" s="35" t="s">
        <v>25</v>
      </c>
      <c r="I176" s="54">
        <v>44501</v>
      </c>
      <c r="J176" s="55">
        <f>EFEITO!$J$176*EFEITO!$Y$134</f>
        <v>0</v>
      </c>
      <c r="K176" s="55">
        <f ca="1">EFEITO!$L$176*EFEITO!$Z$224</f>
        <v>2490.1655713016016</v>
      </c>
      <c r="L176" s="55">
        <f>EFEITO!$N$176*EFEITO!$AA$224</f>
        <v>1005.5838938969285</v>
      </c>
      <c r="M176" s="55">
        <f>$J$176-EFEITO!$K$176*EFEITO!$Y$176</f>
        <v>0</v>
      </c>
      <c r="N176" s="55">
        <f ca="1">$K$176-EFEITO!$M$176*EFEITO!$Z$176</f>
        <v>1618.607621346041</v>
      </c>
      <c r="O176" s="55">
        <f>$L$176-EFEITO!$O$176*EFEITO!$AA$176</f>
        <v>653.62953103300356</v>
      </c>
      <c r="P176" s="39"/>
      <c r="Q176" s="39"/>
      <c r="R176" s="39"/>
      <c r="S176" s="39"/>
      <c r="T176" s="39"/>
      <c r="U176" s="39"/>
      <c r="V176" s="39"/>
      <c r="W176" s="39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35" t="s">
        <v>27</v>
      </c>
      <c r="B177" s="35" t="s">
        <v>22</v>
      </c>
      <c r="C177" s="35" t="s">
        <v>23</v>
      </c>
      <c r="D177" s="35" t="s">
        <v>24</v>
      </c>
      <c r="E177" s="35" t="s">
        <v>29</v>
      </c>
      <c r="F177" s="35" t="s">
        <v>25</v>
      </c>
      <c r="G177" s="35" t="s">
        <v>25</v>
      </c>
      <c r="H177" s="35" t="s">
        <v>25</v>
      </c>
      <c r="I177" s="54">
        <v>44501</v>
      </c>
      <c r="J177" s="55">
        <f>EFEITO!$J$177*EFEITO!$Y$134</f>
        <v>0</v>
      </c>
      <c r="K177" s="55">
        <f ca="1">EFEITO!$L$177*EFEITO!$Z$224</f>
        <v>-2.0648139065519082</v>
      </c>
      <c r="L177" s="55">
        <f>EFEITO!$N$177*EFEITO!$AA$224</f>
        <v>-0.833817490793473</v>
      </c>
      <c r="M177" s="55">
        <f>$J$177-EFEITO!$K$177*EFEITO!$Y$177</f>
        <v>0</v>
      </c>
      <c r="N177" s="55">
        <f ca="1">$K$177-EFEITO!$M$177*EFEITO!$Z$177</f>
        <v>-1.3421290392587402</v>
      </c>
      <c r="O177" s="55">
        <f>$L$177-EFEITO!$O$177*EFEITO!$AA$177</f>
        <v>-0.54198136901575744</v>
      </c>
      <c r="P177" s="39"/>
      <c r="Q177" s="39"/>
      <c r="R177" s="39"/>
      <c r="S177" s="39"/>
      <c r="T177" s="39"/>
      <c r="U177" s="39"/>
      <c r="V177" s="39"/>
      <c r="W177" s="39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35" t="s">
        <v>28</v>
      </c>
      <c r="B178" s="35" t="s">
        <v>22</v>
      </c>
      <c r="C178" s="35" t="s">
        <v>23</v>
      </c>
      <c r="D178" s="35" t="s">
        <v>24</v>
      </c>
      <c r="E178" s="35" t="s">
        <v>29</v>
      </c>
      <c r="F178" s="35" t="s">
        <v>25</v>
      </c>
      <c r="G178" s="35" t="s">
        <v>25</v>
      </c>
      <c r="H178" s="35" t="s">
        <v>25</v>
      </c>
      <c r="I178" s="54">
        <v>44501</v>
      </c>
      <c r="J178" s="55">
        <f>EFEITO!$J$178*EFEITO!$Y$134</f>
        <v>0</v>
      </c>
      <c r="K178" s="55">
        <f ca="1">EFEITO!$L$178*EFEITO!$Z$224</f>
        <v>12.388883439311449</v>
      </c>
      <c r="L178" s="55">
        <f>EFEITO!$N$178*EFEITO!$AA$224</f>
        <v>5.0029049447608376</v>
      </c>
      <c r="M178" s="55">
        <f>$J$178-EFEITO!$K$178*EFEITO!$Y$178</f>
        <v>0</v>
      </c>
      <c r="N178" s="55">
        <f ca="1">$K$178-EFEITO!$M$178*EFEITO!$Z$178</f>
        <v>10.871245217995796</v>
      </c>
      <c r="O178" s="55">
        <f>$L$178-EFEITO!$O$178*EFEITO!$AA$178</f>
        <v>4.3900490890276345</v>
      </c>
      <c r="P178" s="39"/>
      <c r="Q178" s="39"/>
      <c r="R178" s="39"/>
      <c r="S178" s="39"/>
      <c r="T178" s="39"/>
      <c r="U178" s="39"/>
      <c r="V178" s="39"/>
      <c r="W178" s="39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35" t="s">
        <v>21</v>
      </c>
      <c r="B179" s="35" t="s">
        <v>22</v>
      </c>
      <c r="C179" s="35" t="s">
        <v>23</v>
      </c>
      <c r="D179" s="35" t="s">
        <v>24</v>
      </c>
      <c r="E179" s="35" t="s">
        <v>29</v>
      </c>
      <c r="F179" s="35" t="s">
        <v>25</v>
      </c>
      <c r="G179" s="35" t="s">
        <v>25</v>
      </c>
      <c r="H179" s="35" t="s">
        <v>25</v>
      </c>
      <c r="I179" s="54">
        <v>44531</v>
      </c>
      <c r="J179" s="55">
        <f>EFEITO!$J$179*EFEITO!$Y$134</f>
        <v>0</v>
      </c>
      <c r="K179" s="55">
        <f ca="1">EFEITO!$L$179*EFEITO!$Z$224</f>
        <v>2490.1655713016016</v>
      </c>
      <c r="L179" s="55">
        <f>EFEITO!$N$179*EFEITO!$AA$224</f>
        <v>1005.5838938969285</v>
      </c>
      <c r="M179" s="55">
        <f>$J$179-EFEITO!$K$179*EFEITO!$Y$179</f>
        <v>0</v>
      </c>
      <c r="N179" s="55">
        <f ca="1">$K$179-EFEITO!$M$179*EFEITO!$Z$179</f>
        <v>1618.607621346041</v>
      </c>
      <c r="O179" s="55">
        <f>$L$179-EFEITO!$O$179*EFEITO!$AA$179</f>
        <v>653.62953103300356</v>
      </c>
      <c r="P179" s="39"/>
      <c r="Q179" s="39"/>
      <c r="R179" s="39"/>
      <c r="S179" s="39"/>
      <c r="T179" s="39"/>
      <c r="U179" s="39"/>
      <c r="V179" s="39"/>
      <c r="W179" s="39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35" t="s">
        <v>21</v>
      </c>
      <c r="B180" s="35" t="s">
        <v>22</v>
      </c>
      <c r="C180" s="35" t="s">
        <v>23</v>
      </c>
      <c r="D180" s="35" t="s">
        <v>24</v>
      </c>
      <c r="E180" s="35" t="s">
        <v>29</v>
      </c>
      <c r="F180" s="35" t="s">
        <v>25</v>
      </c>
      <c r="G180" s="35" t="s">
        <v>25</v>
      </c>
      <c r="H180" s="35" t="s">
        <v>25</v>
      </c>
      <c r="I180" s="54">
        <v>44562</v>
      </c>
      <c r="J180" s="55">
        <f>EFEITO!$J$180*EFEITO!$Y$134</f>
        <v>0</v>
      </c>
      <c r="K180" s="55">
        <f ca="1">EFEITO!$L$180*EFEITO!$Z$224</f>
        <v>2465.3878044229787</v>
      </c>
      <c r="L180" s="55">
        <f>EFEITO!$N$180*EFEITO!$AA$224</f>
        <v>995.57808400740669</v>
      </c>
      <c r="M180" s="55">
        <f>$J$180-EFEITO!$K$180*EFEITO!$Y$180</f>
        <v>0</v>
      </c>
      <c r="N180" s="55">
        <f ca="1">$K$180-EFEITO!$M$180*EFEITO!$Z$180</f>
        <v>1602.5020728749362</v>
      </c>
      <c r="O180" s="55">
        <f>$L$180-EFEITO!$O$180*EFEITO!$AA$180</f>
        <v>647.12575460481435</v>
      </c>
      <c r="P180" s="39"/>
      <c r="Q180" s="39"/>
      <c r="R180" s="39"/>
      <c r="S180" s="39"/>
      <c r="T180" s="39"/>
      <c r="U180" s="39"/>
      <c r="V180" s="39"/>
      <c r="W180" s="39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35" t="s">
        <v>21</v>
      </c>
      <c r="B181" s="35" t="s">
        <v>22</v>
      </c>
      <c r="C181" s="35" t="s">
        <v>23</v>
      </c>
      <c r="D181" s="35" t="s">
        <v>24</v>
      </c>
      <c r="E181" s="35" t="s">
        <v>29</v>
      </c>
      <c r="F181" s="35" t="s">
        <v>25</v>
      </c>
      <c r="G181" s="35" t="s">
        <v>25</v>
      </c>
      <c r="H181" s="35" t="s">
        <v>25</v>
      </c>
      <c r="I181" s="54">
        <v>44593</v>
      </c>
      <c r="J181" s="55">
        <f>EFEITO!$J$181*EFEITO!$Y$134</f>
        <v>0</v>
      </c>
      <c r="K181" s="55">
        <f ca="1">EFEITO!$L$181*EFEITO!$Z$224</f>
        <v>2384.8600620674542</v>
      </c>
      <c r="L181" s="55">
        <f>EFEITO!$N$181*EFEITO!$AA$224</f>
        <v>963.05920186646142</v>
      </c>
      <c r="M181" s="55">
        <f>$J$181-EFEITO!$K$181*EFEITO!$Y$181</f>
        <v>0</v>
      </c>
      <c r="N181" s="55">
        <f ca="1">$K$181-EFEITO!$M$181*EFEITO!$Z$181</f>
        <v>1550.1590403438454</v>
      </c>
      <c r="O181" s="55">
        <f>$L$181-EFEITO!$O$181*EFEITO!$AA$181</f>
        <v>625.98848121319998</v>
      </c>
      <c r="P181" s="39"/>
      <c r="Q181" s="39"/>
      <c r="R181" s="39"/>
      <c r="S181" s="39"/>
      <c r="T181" s="39"/>
      <c r="U181" s="39"/>
      <c r="V181" s="39"/>
      <c r="W181" s="39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35" t="s">
        <v>28</v>
      </c>
      <c r="B182" s="35" t="s">
        <v>22</v>
      </c>
      <c r="C182" s="35" t="s">
        <v>23</v>
      </c>
      <c r="D182" s="35" t="s">
        <v>24</v>
      </c>
      <c r="E182" s="35" t="s">
        <v>29</v>
      </c>
      <c r="F182" s="35" t="s">
        <v>25</v>
      </c>
      <c r="G182" s="35" t="s">
        <v>25</v>
      </c>
      <c r="H182" s="35" t="s">
        <v>25</v>
      </c>
      <c r="I182" s="54">
        <v>44593</v>
      </c>
      <c r="J182" s="55">
        <f>EFEITO!$J$182*EFEITO!$Y$134</f>
        <v>0</v>
      </c>
      <c r="K182" s="55">
        <f ca="1">EFEITO!$L$182*EFEITO!$Z$224</f>
        <v>12.388883439311449</v>
      </c>
      <c r="L182" s="55">
        <f>EFEITO!$N$182*EFEITO!$AA$224</f>
        <v>5.0029049447608376</v>
      </c>
      <c r="M182" s="55">
        <f>$J$182-EFEITO!$K$182*EFEITO!$Y$182</f>
        <v>0</v>
      </c>
      <c r="N182" s="55">
        <f ca="1">$K$182-EFEITO!$M$182*EFEITO!$Z$182</f>
        <v>10.871245217995796</v>
      </c>
      <c r="O182" s="55">
        <f>$L$182-EFEITO!$O$182*EFEITO!$AA$182</f>
        <v>4.3900490890276345</v>
      </c>
      <c r="P182" s="39"/>
      <c r="Q182" s="39"/>
      <c r="R182" s="39"/>
      <c r="S182" s="39"/>
      <c r="T182" s="39"/>
      <c r="U182" s="39"/>
      <c r="V182" s="39"/>
      <c r="W182" s="39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35" t="s">
        <v>21</v>
      </c>
      <c r="B183" s="35" t="s">
        <v>22</v>
      </c>
      <c r="C183" s="35" t="s">
        <v>23</v>
      </c>
      <c r="D183" s="35" t="s">
        <v>24</v>
      </c>
      <c r="E183" s="35" t="s">
        <v>29</v>
      </c>
      <c r="F183" s="35" t="s">
        <v>25</v>
      </c>
      <c r="G183" s="35" t="s">
        <v>25</v>
      </c>
      <c r="H183" s="35" t="s">
        <v>25</v>
      </c>
      <c r="I183" s="54">
        <v>44621</v>
      </c>
      <c r="J183" s="55">
        <f>EFEITO!$J$183*EFEITO!$Y$134</f>
        <v>0</v>
      </c>
      <c r="K183" s="55">
        <f ca="1">EFEITO!$L$183*EFEITO!$Z$224</f>
        <v>2700.776589769896</v>
      </c>
      <c r="L183" s="55">
        <f>EFEITO!$N$183*EFEITO!$AA$224</f>
        <v>1090.6332779578627</v>
      </c>
      <c r="M183" s="55">
        <f>$J$183-EFEITO!$K$183*EFEITO!$Y$183</f>
        <v>0</v>
      </c>
      <c r="N183" s="55">
        <f ca="1">$K$183-EFEITO!$M$183*EFEITO!$Z$183</f>
        <v>1755.5047833504323</v>
      </c>
      <c r="O183" s="55">
        <f>$L$183-EFEITO!$O$183*EFEITO!$AA$183</f>
        <v>708.91163067261073</v>
      </c>
      <c r="P183" s="39"/>
      <c r="Q183" s="39"/>
      <c r="R183" s="39"/>
      <c r="S183" s="39"/>
      <c r="T183" s="39"/>
      <c r="U183" s="39"/>
      <c r="V183" s="39"/>
      <c r="W183" s="39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35" t="s">
        <v>28</v>
      </c>
      <c r="B184" s="35" t="s">
        <v>22</v>
      </c>
      <c r="C184" s="35" t="s">
        <v>23</v>
      </c>
      <c r="D184" s="35" t="s">
        <v>24</v>
      </c>
      <c r="E184" s="35" t="s">
        <v>29</v>
      </c>
      <c r="F184" s="35" t="s">
        <v>25</v>
      </c>
      <c r="G184" s="35" t="s">
        <v>25</v>
      </c>
      <c r="H184" s="35" t="s">
        <v>25</v>
      </c>
      <c r="I184" s="54">
        <v>44621</v>
      </c>
      <c r="J184" s="55">
        <f>EFEITO!$J$184*EFEITO!$Y$134</f>
        <v>0</v>
      </c>
      <c r="K184" s="55">
        <f ca="1">EFEITO!$L$184*EFEITO!$Z$224</f>
        <v>12.388883439311449</v>
      </c>
      <c r="L184" s="55">
        <f>EFEITO!$N$184*EFEITO!$AA$224</f>
        <v>5.0029049447608376</v>
      </c>
      <c r="M184" s="55">
        <f>$J$184-EFEITO!$K$184*EFEITO!$Y$184</f>
        <v>0</v>
      </c>
      <c r="N184" s="55">
        <f ca="1">$K$184-EFEITO!$M$184*EFEITO!$Z$184</f>
        <v>10.871245217995796</v>
      </c>
      <c r="O184" s="55">
        <f>$L$184-EFEITO!$O$184*EFEITO!$AA$184</f>
        <v>4.3900490890276345</v>
      </c>
      <c r="P184" s="39"/>
      <c r="Q184" s="39"/>
      <c r="R184" s="39"/>
      <c r="S184" s="39"/>
      <c r="T184" s="39"/>
      <c r="U184" s="39"/>
      <c r="V184" s="39"/>
      <c r="W184" s="39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35" t="s">
        <v>21</v>
      </c>
      <c r="B185" s="35" t="s">
        <v>22</v>
      </c>
      <c r="C185" s="35" t="s">
        <v>23</v>
      </c>
      <c r="D185" s="35" t="s">
        <v>24</v>
      </c>
      <c r="E185" s="35" t="s">
        <v>29</v>
      </c>
      <c r="F185" s="35" t="s">
        <v>25</v>
      </c>
      <c r="G185" s="35" t="s">
        <v>25</v>
      </c>
      <c r="H185" s="35" t="s">
        <v>25</v>
      </c>
      <c r="I185" s="54">
        <v>44652</v>
      </c>
      <c r="J185" s="55">
        <f>EFEITO!$J$185*EFEITO!$Y$134</f>
        <v>0</v>
      </c>
      <c r="K185" s="55">
        <f ca="1">EFEITO!$L$185*EFEITO!$Z$224</f>
        <v>4583.8868725452367</v>
      </c>
      <c r="L185" s="55">
        <f>EFEITO!$N$185*EFEITO!$AA$224</f>
        <v>1851.0748295615101</v>
      </c>
      <c r="M185" s="55">
        <f>$J$185-EFEITO!$K$185*EFEITO!$Y$185</f>
        <v>0</v>
      </c>
      <c r="N185" s="55">
        <f ca="1">$K$185-EFEITO!$M$185*EFEITO!$Z$185</f>
        <v>2979.5264671544037</v>
      </c>
      <c r="O185" s="55">
        <f>$L$185-EFEITO!$O$185*EFEITO!$AA$185</f>
        <v>1203.1986392149815</v>
      </c>
      <c r="P185" s="39"/>
      <c r="Q185" s="39"/>
      <c r="R185" s="39"/>
      <c r="S185" s="39"/>
      <c r="T185" s="39"/>
      <c r="U185" s="39"/>
      <c r="V185" s="39"/>
      <c r="W185" s="39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35" t="s">
        <v>27</v>
      </c>
      <c r="B186" s="35" t="s">
        <v>22</v>
      </c>
      <c r="C186" s="35" t="s">
        <v>23</v>
      </c>
      <c r="D186" s="35" t="s">
        <v>24</v>
      </c>
      <c r="E186" s="35" t="s">
        <v>29</v>
      </c>
      <c r="F186" s="35" t="s">
        <v>25</v>
      </c>
      <c r="G186" s="35" t="s">
        <v>25</v>
      </c>
      <c r="H186" s="35" t="s">
        <v>25</v>
      </c>
      <c r="I186" s="54">
        <v>44652</v>
      </c>
      <c r="J186" s="55">
        <f>EFEITO!$J$186*EFEITO!$Y$134</f>
        <v>0</v>
      </c>
      <c r="K186" s="55">
        <f ca="1">EFEITO!$L$186*EFEITO!$Z$224</f>
        <v>-12.388883439311449</v>
      </c>
      <c r="L186" s="55">
        <f>EFEITO!$N$186*EFEITO!$AA$224</f>
        <v>-5.0029049447608376</v>
      </c>
      <c r="M186" s="55">
        <f>$J$186-EFEITO!$K$186*EFEITO!$Y$186</f>
        <v>0</v>
      </c>
      <c r="N186" s="55">
        <f ca="1">$K$186-EFEITO!$M$186*EFEITO!$Z$186</f>
        <v>-8.052774235552441</v>
      </c>
      <c r="O186" s="55">
        <f>$L$186-EFEITO!$O$186*EFEITO!$AA$186</f>
        <v>-3.2518882140945444</v>
      </c>
      <c r="P186" s="39"/>
      <c r="Q186" s="39"/>
      <c r="R186" s="39"/>
      <c r="S186" s="39"/>
      <c r="T186" s="39"/>
      <c r="U186" s="39"/>
      <c r="V186" s="39"/>
      <c r="W186" s="39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35" t="s">
        <v>28</v>
      </c>
      <c r="B187" s="35" t="s">
        <v>22</v>
      </c>
      <c r="C187" s="35" t="s">
        <v>23</v>
      </c>
      <c r="D187" s="35" t="s">
        <v>24</v>
      </c>
      <c r="E187" s="35" t="s">
        <v>29</v>
      </c>
      <c r="F187" s="35" t="s">
        <v>25</v>
      </c>
      <c r="G187" s="35" t="s">
        <v>25</v>
      </c>
      <c r="H187" s="35" t="s">
        <v>25</v>
      </c>
      <c r="I187" s="54">
        <v>44652</v>
      </c>
      <c r="J187" s="55">
        <f>EFEITO!$J$187*EFEITO!$Y$134</f>
        <v>0</v>
      </c>
      <c r="K187" s="55">
        <f ca="1">EFEITO!$L$187*EFEITO!$Z$224</f>
        <v>21.887027409450226</v>
      </c>
      <c r="L187" s="55">
        <f>EFEITO!$N$187*EFEITO!$AA$224</f>
        <v>8.8384654024108134</v>
      </c>
      <c r="M187" s="55">
        <f>$J$187-EFEITO!$K$187*EFEITO!$Y$187</f>
        <v>0</v>
      </c>
      <c r="N187" s="55">
        <f ca="1">$K$187-EFEITO!$M$187*EFEITO!$Z$187</f>
        <v>29.164464023092428</v>
      </c>
      <c r="O187" s="55">
        <f>$L$187-EFEITO!$O$187*EFEITO!$AA$187</f>
        <v>11.77725514871241</v>
      </c>
      <c r="P187" s="39"/>
      <c r="Q187" s="39"/>
      <c r="R187" s="39"/>
      <c r="S187" s="39"/>
      <c r="T187" s="39"/>
      <c r="U187" s="39"/>
      <c r="V187" s="39"/>
      <c r="W187" s="39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35" t="s">
        <v>21</v>
      </c>
      <c r="B188" s="35" t="s">
        <v>22</v>
      </c>
      <c r="C188" s="35" t="s">
        <v>23</v>
      </c>
      <c r="D188" s="35" t="s">
        <v>24</v>
      </c>
      <c r="E188" s="35" t="s">
        <v>29</v>
      </c>
      <c r="F188" s="35" t="s">
        <v>25</v>
      </c>
      <c r="G188" s="35" t="s">
        <v>25</v>
      </c>
      <c r="H188" s="35" t="s">
        <v>25</v>
      </c>
      <c r="I188" s="54">
        <v>44682</v>
      </c>
      <c r="J188" s="55">
        <f>EFEITO!$J$188*EFEITO!$Y$134</f>
        <v>0</v>
      </c>
      <c r="K188" s="55">
        <f ca="1">EFEITO!$L$188*EFEITO!$Z$224</f>
        <v>3518.4428967644517</v>
      </c>
      <c r="L188" s="55">
        <f>EFEITO!$N$188*EFEITO!$AA$224</f>
        <v>1420.8250043120779</v>
      </c>
      <c r="M188" s="55">
        <f>$J$188-EFEITO!$K$188*EFEITO!$Y$188</f>
        <v>0</v>
      </c>
      <c r="N188" s="55">
        <f ca="1">$K$188-EFEITO!$M$188*EFEITO!$Z$188</f>
        <v>2286.9878828968936</v>
      </c>
      <c r="O188" s="55">
        <f>$L$188-EFEITO!$O$188*EFEITO!$AA$188</f>
        <v>923.53625280285064</v>
      </c>
      <c r="P188" s="39"/>
      <c r="Q188" s="39"/>
      <c r="R188" s="39"/>
      <c r="S188" s="39"/>
      <c r="T188" s="39"/>
      <c r="U188" s="39"/>
      <c r="V188" s="39"/>
      <c r="W188" s="39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35" t="s">
        <v>28</v>
      </c>
      <c r="B189" s="35" t="s">
        <v>22</v>
      </c>
      <c r="C189" s="35" t="s">
        <v>23</v>
      </c>
      <c r="D189" s="35" t="s">
        <v>24</v>
      </c>
      <c r="E189" s="35" t="s">
        <v>29</v>
      </c>
      <c r="F189" s="35" t="s">
        <v>25</v>
      </c>
      <c r="G189" s="35" t="s">
        <v>25</v>
      </c>
      <c r="H189" s="35" t="s">
        <v>25</v>
      </c>
      <c r="I189" s="54">
        <v>44682</v>
      </c>
      <c r="J189" s="55">
        <f>EFEITO!$J$189*EFEITO!$Y$134</f>
        <v>0</v>
      </c>
      <c r="K189" s="55">
        <f ca="1">EFEITO!$L$189*EFEITO!$Z$224</f>
        <v>12.388883439311449</v>
      </c>
      <c r="L189" s="55">
        <f>EFEITO!$N$189*EFEITO!$AA$224</f>
        <v>5.0029049447608376</v>
      </c>
      <c r="M189" s="55">
        <f>$J$189-EFEITO!$K$189*EFEITO!$Y$189</f>
        <v>0</v>
      </c>
      <c r="N189" s="55">
        <f ca="1">$K$189-EFEITO!$M$189*EFEITO!$Z$189</f>
        <v>16.508187182882509</v>
      </c>
      <c r="O189" s="55">
        <f>$L$189-EFEITO!$O$189*EFEITO!$AA$189</f>
        <v>6.6663708388938163</v>
      </c>
      <c r="P189" s="39"/>
      <c r="Q189" s="39"/>
      <c r="R189" s="39"/>
      <c r="S189" s="39"/>
      <c r="T189" s="39"/>
      <c r="U189" s="39"/>
      <c r="V189" s="39"/>
      <c r="W189" s="39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35" t="s">
        <v>21</v>
      </c>
      <c r="B190" s="35" t="s">
        <v>22</v>
      </c>
      <c r="C190" s="35" t="s">
        <v>23</v>
      </c>
      <c r="D190" s="35" t="s">
        <v>24</v>
      </c>
      <c r="E190" s="35" t="s">
        <v>29</v>
      </c>
      <c r="F190" s="35" t="s">
        <v>25</v>
      </c>
      <c r="G190" s="35" t="s">
        <v>25</v>
      </c>
      <c r="H190" s="35" t="s">
        <v>25</v>
      </c>
      <c r="I190" s="54">
        <v>44713</v>
      </c>
      <c r="J190" s="55">
        <f>EFEITO!$J$190*EFEITO!$Y$134</f>
        <v>0</v>
      </c>
      <c r="K190" s="55">
        <f ca="1">EFEITO!$L$190*EFEITO!$Z$224</f>
        <v>3592.7761974003201</v>
      </c>
      <c r="L190" s="55">
        <f>EFEITO!$N$190*EFEITO!$AA$224</f>
        <v>1450.8424339806429</v>
      </c>
      <c r="M190" s="55">
        <f>$J$190-EFEITO!$K$190*EFEITO!$Y$190</f>
        <v>0</v>
      </c>
      <c r="N190" s="55">
        <f ca="1">$K$190-EFEITO!$M$190*EFEITO!$Z$190</f>
        <v>2335.3045283102083</v>
      </c>
      <c r="O190" s="55">
        <f>$L$190-EFEITO!$O$190*EFEITO!$AA$190</f>
        <v>943.04758208741794</v>
      </c>
      <c r="P190" s="39"/>
      <c r="Q190" s="39"/>
      <c r="R190" s="39"/>
      <c r="S190" s="39"/>
      <c r="T190" s="39"/>
      <c r="U190" s="39"/>
      <c r="V190" s="39"/>
      <c r="W190" s="39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35" t="s">
        <v>21</v>
      </c>
      <c r="B191" s="35" t="s">
        <v>22</v>
      </c>
      <c r="C191" s="35" t="s">
        <v>23</v>
      </c>
      <c r="D191" s="35" t="s">
        <v>24</v>
      </c>
      <c r="E191" s="35" t="s">
        <v>29</v>
      </c>
      <c r="F191" s="35" t="s">
        <v>25</v>
      </c>
      <c r="G191" s="35" t="s">
        <v>25</v>
      </c>
      <c r="H191" s="35" t="s">
        <v>25</v>
      </c>
      <c r="I191" s="54">
        <v>44743</v>
      </c>
      <c r="J191" s="55">
        <f>EFEITO!$J$191*EFEITO!$Y$134</f>
        <v>0</v>
      </c>
      <c r="K191" s="55">
        <f ca="1">EFEITO!$L$191*EFEITO!$Z$224</f>
        <v>3530.8317802037636</v>
      </c>
      <c r="L191" s="55">
        <f>EFEITO!$N$191*EFEITO!$AA$224</f>
        <v>1425.8279092568389</v>
      </c>
      <c r="M191" s="55">
        <f>$J$191-EFEITO!$K$191*EFEITO!$Y$191</f>
        <v>0</v>
      </c>
      <c r="N191" s="55">
        <f ca="1">$K$191-EFEITO!$M$191*EFEITO!$Z$191</f>
        <v>2295.0406571324465</v>
      </c>
      <c r="O191" s="55">
        <f>$L$191-EFEITO!$O$191*EFEITO!$AA$191</f>
        <v>926.78814101694525</v>
      </c>
      <c r="P191" s="39"/>
      <c r="Q191" s="39"/>
      <c r="R191" s="39"/>
      <c r="S191" s="39"/>
      <c r="T191" s="39"/>
      <c r="U191" s="39"/>
      <c r="V191" s="39"/>
      <c r="W191" s="39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35" t="s">
        <v>21</v>
      </c>
      <c r="B192" s="35" t="s">
        <v>22</v>
      </c>
      <c r="C192" s="35" t="s">
        <v>23</v>
      </c>
      <c r="D192" s="35" t="s">
        <v>24</v>
      </c>
      <c r="E192" s="35" t="s">
        <v>29</v>
      </c>
      <c r="F192" s="35" t="s">
        <v>25</v>
      </c>
      <c r="G192" s="35" t="s">
        <v>25</v>
      </c>
      <c r="H192" s="35" t="s">
        <v>25</v>
      </c>
      <c r="I192" s="54">
        <v>44774</v>
      </c>
      <c r="J192" s="55">
        <f>EFEITO!$J$192*EFEITO!$Y$134</f>
        <v>0</v>
      </c>
      <c r="K192" s="55">
        <f ca="1">EFEITO!$L$192*EFEITO!$Z$224</f>
        <v>2787.4987738450764</v>
      </c>
      <c r="L192" s="55">
        <f>EFEITO!$N$192*EFEITO!$AA$224</f>
        <v>1125.6536125711887</v>
      </c>
      <c r="M192" s="55">
        <f>$J$192-EFEITO!$K$192*EFEITO!$Y$192</f>
        <v>0</v>
      </c>
      <c r="N192" s="55">
        <f ca="1">$K$192-EFEITO!$M$192*EFEITO!$Z$192</f>
        <v>1811.8742029992995</v>
      </c>
      <c r="O192" s="55">
        <f>$L$192-EFEITO!$O$192*EFEITO!$AA$192</f>
        <v>731.67484817127274</v>
      </c>
      <c r="P192" s="39"/>
      <c r="Q192" s="39"/>
      <c r="R192" s="39"/>
      <c r="S192" s="39"/>
      <c r="T192" s="39"/>
      <c r="U192" s="39"/>
      <c r="V192" s="39"/>
      <c r="W192" s="39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35" t="s">
        <v>21</v>
      </c>
      <c r="B193" s="35" t="s">
        <v>22</v>
      </c>
      <c r="C193" s="35" t="s">
        <v>23</v>
      </c>
      <c r="D193" s="35" t="s">
        <v>24</v>
      </c>
      <c r="E193" s="35" t="s">
        <v>30</v>
      </c>
      <c r="F193" s="35" t="s">
        <v>25</v>
      </c>
      <c r="G193" s="35" t="s">
        <v>25</v>
      </c>
      <c r="H193" s="35" t="s">
        <v>25</v>
      </c>
      <c r="I193" s="54">
        <v>44440</v>
      </c>
      <c r="J193" s="55">
        <f>EFEITO!$J$193*EFEITO!$Y$134</f>
        <v>0</v>
      </c>
      <c r="K193" s="55">
        <f ca="1">EFEITO!$L$193*EFEITO!$Z$224</f>
        <v>5019.5626068276888</v>
      </c>
      <c r="L193" s="55">
        <f>EFEITO!$N$193*EFEITO!$AA$224</f>
        <v>2027.0103201189329</v>
      </c>
      <c r="M193" s="55">
        <f>$J$193-EFEITO!$K$193*EFEITO!$Y$193</f>
        <v>0</v>
      </c>
      <c r="N193" s="55">
        <f ca="1">$K$193-EFEITO!$M$193*EFEITO!$Z$193</f>
        <v>2007.8250427310754</v>
      </c>
      <c r="O193" s="55">
        <f>$L$193-EFEITO!$O$193*EFEITO!$AA$193</f>
        <v>810.80412804757316</v>
      </c>
      <c r="P193" s="39"/>
      <c r="Q193" s="39"/>
      <c r="R193" s="39"/>
      <c r="S193" s="39"/>
      <c r="T193" s="39"/>
      <c r="U193" s="39"/>
      <c r="V193" s="39"/>
      <c r="W193" s="39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35" t="s">
        <v>21</v>
      </c>
      <c r="B194" s="35" t="s">
        <v>22</v>
      </c>
      <c r="C194" s="35" t="s">
        <v>23</v>
      </c>
      <c r="D194" s="35" t="s">
        <v>24</v>
      </c>
      <c r="E194" s="35" t="s">
        <v>30</v>
      </c>
      <c r="F194" s="35" t="s">
        <v>25</v>
      </c>
      <c r="G194" s="35" t="s">
        <v>25</v>
      </c>
      <c r="H194" s="35" t="s">
        <v>25</v>
      </c>
      <c r="I194" s="54">
        <v>44470</v>
      </c>
      <c r="J194" s="55">
        <f>EFEITO!$J$194*EFEITO!$Y$134</f>
        <v>0</v>
      </c>
      <c r="K194" s="55">
        <f ca="1">EFEITO!$L$194*EFEITO!$Z$224</f>
        <v>5012.1292767641025</v>
      </c>
      <c r="L194" s="55">
        <f>EFEITO!$N$194*EFEITO!$AA$224</f>
        <v>2024.0085771520764</v>
      </c>
      <c r="M194" s="55">
        <f>$J$194-EFEITO!$K$194*EFEITO!$Y$194</f>
        <v>0</v>
      </c>
      <c r="N194" s="55">
        <f ca="1">$K$194-EFEITO!$M$194*EFEITO!$Z$194</f>
        <v>2004.8517107056414</v>
      </c>
      <c r="O194" s="55">
        <f>$L$194-EFEITO!$O$194*EFEITO!$AA$194</f>
        <v>809.60343086083049</v>
      </c>
      <c r="P194" s="39"/>
      <c r="Q194" s="39"/>
      <c r="R194" s="39"/>
      <c r="S194" s="39"/>
      <c r="T194" s="39"/>
      <c r="U194" s="39"/>
      <c r="V194" s="39"/>
      <c r="W194" s="39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35" t="s">
        <v>21</v>
      </c>
      <c r="B195" s="35" t="s">
        <v>22</v>
      </c>
      <c r="C195" s="35" t="s">
        <v>23</v>
      </c>
      <c r="D195" s="35" t="s">
        <v>24</v>
      </c>
      <c r="E195" s="35" t="s">
        <v>30</v>
      </c>
      <c r="F195" s="35" t="s">
        <v>25</v>
      </c>
      <c r="G195" s="35" t="s">
        <v>25</v>
      </c>
      <c r="H195" s="35" t="s">
        <v>25</v>
      </c>
      <c r="I195" s="54">
        <v>44501</v>
      </c>
      <c r="J195" s="55">
        <f>EFEITO!$J$195*EFEITO!$Y$134</f>
        <v>0</v>
      </c>
      <c r="K195" s="55">
        <f ca="1">EFEITO!$L$195*EFEITO!$Z$224</f>
        <v>4984.4607704163072</v>
      </c>
      <c r="L195" s="55">
        <f>EFEITO!$N$195*EFEITO!$AA$224</f>
        <v>2012.8354227754439</v>
      </c>
      <c r="M195" s="55">
        <f>$J$195-EFEITO!$K$195*EFEITO!$Y$195</f>
        <v>0</v>
      </c>
      <c r="N195" s="55">
        <f ca="1">$K$195-EFEITO!$M$195*EFEITO!$Z$195</f>
        <v>1993.7843081665233</v>
      </c>
      <c r="O195" s="55">
        <f>$L$195-EFEITO!$O$195*EFEITO!$AA$195</f>
        <v>805.13416911017771</v>
      </c>
      <c r="P195" s="39"/>
      <c r="Q195" s="39"/>
      <c r="R195" s="39"/>
      <c r="S195" s="39"/>
      <c r="T195" s="39"/>
      <c r="U195" s="39"/>
      <c r="V195" s="39"/>
      <c r="W195" s="39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35" t="s">
        <v>27</v>
      </c>
      <c r="B196" s="35" t="s">
        <v>22</v>
      </c>
      <c r="C196" s="35" t="s">
        <v>23</v>
      </c>
      <c r="D196" s="35" t="s">
        <v>24</v>
      </c>
      <c r="E196" s="35" t="s">
        <v>30</v>
      </c>
      <c r="F196" s="35" t="s">
        <v>25</v>
      </c>
      <c r="G196" s="35" t="s">
        <v>25</v>
      </c>
      <c r="H196" s="35" t="s">
        <v>25</v>
      </c>
      <c r="I196" s="54">
        <v>44501</v>
      </c>
      <c r="J196" s="55">
        <f>EFEITO!$J$196*EFEITO!$Y$134</f>
        <v>0</v>
      </c>
      <c r="K196" s="55">
        <f ca="1">EFEITO!$L$196*EFEITO!$Z$224</f>
        <v>-21.474064628139846</v>
      </c>
      <c r="L196" s="55">
        <f>EFEITO!$N$196*EFEITO!$AA$224</f>
        <v>-8.6717019042521191</v>
      </c>
      <c r="M196" s="55">
        <f>$J$196-EFEITO!$K$196*EFEITO!$Y$196</f>
        <v>0</v>
      </c>
      <c r="N196" s="55">
        <f ca="1">$K$196-EFEITO!$M$196*EFEITO!$Z$196</f>
        <v>-8.5896258512559402</v>
      </c>
      <c r="O196" s="55">
        <f>$L$196-EFEITO!$O$196*EFEITO!$AA$196</f>
        <v>-3.4686807617008482</v>
      </c>
      <c r="P196" s="39"/>
      <c r="Q196" s="39"/>
      <c r="R196" s="39"/>
      <c r="S196" s="39"/>
      <c r="T196" s="39"/>
      <c r="U196" s="39"/>
      <c r="V196" s="39"/>
      <c r="W196" s="39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35" t="s">
        <v>28</v>
      </c>
      <c r="B197" s="35" t="s">
        <v>22</v>
      </c>
      <c r="C197" s="35" t="s">
        <v>23</v>
      </c>
      <c r="D197" s="35" t="s">
        <v>24</v>
      </c>
      <c r="E197" s="35" t="s">
        <v>30</v>
      </c>
      <c r="F197" s="35" t="s">
        <v>25</v>
      </c>
      <c r="G197" s="35" t="s">
        <v>25</v>
      </c>
      <c r="H197" s="35" t="s">
        <v>25</v>
      </c>
      <c r="I197" s="54">
        <v>44501</v>
      </c>
      <c r="J197" s="55">
        <f>EFEITO!$J$197*EFEITO!$Y$134</f>
        <v>0</v>
      </c>
      <c r="K197" s="55">
        <f ca="1">EFEITO!$L$197*EFEITO!$Z$224</f>
        <v>11.562957876690687</v>
      </c>
      <c r="L197" s="55">
        <f>EFEITO!$N$197*EFEITO!$AA$224</f>
        <v>4.669377948443449</v>
      </c>
      <c r="M197" s="55">
        <f>$J$197-EFEITO!$K$197*EFEITO!$Y$197</f>
        <v>0</v>
      </c>
      <c r="N197" s="55">
        <f ca="1">$K$197-EFEITO!$M$197*EFEITO!$Z$197</f>
        <v>7.4002930410820404</v>
      </c>
      <c r="O197" s="55">
        <f>$L$197-EFEITO!$O$197*EFEITO!$AA$197</f>
        <v>2.9884018870038078</v>
      </c>
      <c r="P197" s="39"/>
      <c r="Q197" s="39"/>
      <c r="R197" s="39"/>
      <c r="S197" s="39"/>
      <c r="T197" s="39"/>
      <c r="U197" s="39"/>
      <c r="V197" s="39"/>
      <c r="W197" s="39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35" t="s">
        <v>21</v>
      </c>
      <c r="B198" s="35" t="s">
        <v>22</v>
      </c>
      <c r="C198" s="35" t="s">
        <v>23</v>
      </c>
      <c r="D198" s="35" t="s">
        <v>24</v>
      </c>
      <c r="E198" s="35" t="s">
        <v>30</v>
      </c>
      <c r="F198" s="35" t="s">
        <v>25</v>
      </c>
      <c r="G198" s="35" t="s">
        <v>25</v>
      </c>
      <c r="H198" s="35" t="s">
        <v>25</v>
      </c>
      <c r="I198" s="54">
        <v>44531</v>
      </c>
      <c r="J198" s="55">
        <f>EFEITO!$J$198*EFEITO!$Y$134</f>
        <v>0</v>
      </c>
      <c r="K198" s="55">
        <f ca="1">EFEITO!$L$198*EFEITO!$Z$224</f>
        <v>5081.9199868055566</v>
      </c>
      <c r="L198" s="55">
        <f>EFEITO!$N$198*EFEITO!$AA$224</f>
        <v>2052.1916083408955</v>
      </c>
      <c r="M198" s="55">
        <f>$J$198-EFEITO!$K$198*EFEITO!$Y$198</f>
        <v>0</v>
      </c>
      <c r="N198" s="55">
        <f ca="1">$K$198-EFEITO!$M$198*EFEITO!$Z$198</f>
        <v>2032.7679947222227</v>
      </c>
      <c r="O198" s="55">
        <f>$L$198-EFEITO!$O$198*EFEITO!$AA$198</f>
        <v>820.87664333635826</v>
      </c>
      <c r="P198" s="39"/>
      <c r="Q198" s="39"/>
      <c r="R198" s="39"/>
      <c r="S198" s="39"/>
      <c r="T198" s="39"/>
      <c r="U198" s="39"/>
      <c r="V198" s="39"/>
      <c r="W198" s="39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35" t="s">
        <v>21</v>
      </c>
      <c r="B199" s="35" t="s">
        <v>22</v>
      </c>
      <c r="C199" s="35" t="s">
        <v>23</v>
      </c>
      <c r="D199" s="35" t="s">
        <v>24</v>
      </c>
      <c r="E199" s="35" t="s">
        <v>30</v>
      </c>
      <c r="F199" s="35" t="s">
        <v>25</v>
      </c>
      <c r="G199" s="35" t="s">
        <v>25</v>
      </c>
      <c r="H199" s="35" t="s">
        <v>25</v>
      </c>
      <c r="I199" s="54">
        <v>44562</v>
      </c>
      <c r="J199" s="55">
        <f>EFEITO!$J$199*EFEITO!$Y$134</f>
        <v>0</v>
      </c>
      <c r="K199" s="55">
        <f ca="1">EFEITO!$L$199*EFEITO!$Z$224</f>
        <v>5131.0625577814926</v>
      </c>
      <c r="L199" s="55">
        <f>EFEITO!$N$199*EFEITO!$AA$224</f>
        <v>2072.0364646217804</v>
      </c>
      <c r="M199" s="55">
        <f>$J$199-EFEITO!$K$199*EFEITO!$Y$199</f>
        <v>0</v>
      </c>
      <c r="N199" s="55">
        <f ca="1">$K$199-EFEITO!$M$199*EFEITO!$Z$199</f>
        <v>2052.4250231125975</v>
      </c>
      <c r="O199" s="55">
        <f>$L$199-EFEITO!$O$199*EFEITO!$AA$199</f>
        <v>828.81458584871211</v>
      </c>
      <c r="P199" s="39"/>
      <c r="Q199" s="39"/>
      <c r="R199" s="39"/>
      <c r="S199" s="39"/>
      <c r="T199" s="39"/>
      <c r="U199" s="39"/>
      <c r="V199" s="39"/>
      <c r="W199" s="39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35" t="s">
        <v>21</v>
      </c>
      <c r="B200" s="35" t="s">
        <v>22</v>
      </c>
      <c r="C200" s="35" t="s">
        <v>23</v>
      </c>
      <c r="D200" s="35" t="s">
        <v>24</v>
      </c>
      <c r="E200" s="35" t="s">
        <v>30</v>
      </c>
      <c r="F200" s="35" t="s">
        <v>25</v>
      </c>
      <c r="G200" s="35" t="s">
        <v>25</v>
      </c>
      <c r="H200" s="35" t="s">
        <v>25</v>
      </c>
      <c r="I200" s="54">
        <v>44593</v>
      </c>
      <c r="J200" s="55">
        <f>EFEITO!$J$200*EFEITO!$Y$134</f>
        <v>0</v>
      </c>
      <c r="K200" s="55">
        <f ca="1">EFEITO!$L$200*EFEITO!$Z$224</f>
        <v>5276.8384195840572</v>
      </c>
      <c r="L200" s="55">
        <f>EFEITO!$N$200*EFEITO!$AA$224</f>
        <v>2130.9039794717996</v>
      </c>
      <c r="M200" s="55">
        <f>$J$200-EFEITO!$K$200*EFEITO!$Y$200</f>
        <v>0</v>
      </c>
      <c r="N200" s="55">
        <f ca="1">$K$200-EFEITO!$M$200*EFEITO!$Z$200</f>
        <v>2110.7353678336231</v>
      </c>
      <c r="O200" s="55">
        <f>$L$200-EFEITO!$O$200*EFEITO!$AA$200</f>
        <v>852.36159178871981</v>
      </c>
      <c r="P200" s="39"/>
      <c r="Q200" s="39"/>
      <c r="R200" s="39"/>
      <c r="S200" s="39"/>
      <c r="T200" s="39"/>
      <c r="U200" s="39"/>
      <c r="V200" s="39"/>
      <c r="W200" s="39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35" t="s">
        <v>21</v>
      </c>
      <c r="B201" s="35" t="s">
        <v>22</v>
      </c>
      <c r="C201" s="35" t="s">
        <v>23</v>
      </c>
      <c r="D201" s="35" t="s">
        <v>24</v>
      </c>
      <c r="E201" s="35" t="s">
        <v>30</v>
      </c>
      <c r="F201" s="35" t="s">
        <v>25</v>
      </c>
      <c r="G201" s="35" t="s">
        <v>25</v>
      </c>
      <c r="H201" s="35" t="s">
        <v>25</v>
      </c>
      <c r="I201" s="54">
        <v>44621</v>
      </c>
      <c r="J201" s="55">
        <f>EFEITO!$J$201*EFEITO!$Y$134</f>
        <v>0</v>
      </c>
      <c r="K201" s="55">
        <f ca="1">EFEITO!$L$201*EFEITO!$Z$224</f>
        <v>5687.7363869878864</v>
      </c>
      <c r="L201" s="55">
        <f>EFEITO!$N$201*EFEITO!$AA$224</f>
        <v>2296.8336601397009</v>
      </c>
      <c r="M201" s="55">
        <f>$J$201-EFEITO!$K$201*EFEITO!$Y$201</f>
        <v>0</v>
      </c>
      <c r="N201" s="55">
        <f ca="1">$K$201-EFEITO!$M$201*EFEITO!$Z$201</f>
        <v>2275.0945547951546</v>
      </c>
      <c r="O201" s="55">
        <f>$L$201-EFEITO!$O$201*EFEITO!$AA$201</f>
        <v>918.7334640558804</v>
      </c>
      <c r="P201" s="39"/>
      <c r="Q201" s="39"/>
      <c r="R201" s="39"/>
      <c r="S201" s="39"/>
      <c r="T201" s="39"/>
      <c r="U201" s="39"/>
      <c r="V201" s="39"/>
      <c r="W201" s="39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35" t="s">
        <v>21</v>
      </c>
      <c r="B202" s="35" t="s">
        <v>22</v>
      </c>
      <c r="C202" s="35" t="s">
        <v>23</v>
      </c>
      <c r="D202" s="35" t="s">
        <v>24</v>
      </c>
      <c r="E202" s="35" t="s">
        <v>30</v>
      </c>
      <c r="F202" s="35" t="s">
        <v>25</v>
      </c>
      <c r="G202" s="35" t="s">
        <v>25</v>
      </c>
      <c r="H202" s="35" t="s">
        <v>25</v>
      </c>
      <c r="I202" s="54">
        <v>44652</v>
      </c>
      <c r="J202" s="55">
        <f>EFEITO!$J$202*EFEITO!$Y$134</f>
        <v>0</v>
      </c>
      <c r="K202" s="55">
        <f ca="1">EFEITO!$L$202*EFEITO!$Z$224</f>
        <v>9202.8755815018558</v>
      </c>
      <c r="L202" s="55">
        <f>EFEITO!$N$202*EFEITO!$AA$224</f>
        <v>3716.3245564665094</v>
      </c>
      <c r="M202" s="55">
        <f>$J$202-EFEITO!$K$202*EFEITO!$Y$202</f>
        <v>0</v>
      </c>
      <c r="N202" s="55">
        <f ca="1">$K$202-EFEITO!$M$202*EFEITO!$Z$202</f>
        <v>3681.150232600743</v>
      </c>
      <c r="O202" s="55">
        <f>$L$202-EFEITO!$O$202*EFEITO!$AA$202</f>
        <v>1486.529822586604</v>
      </c>
      <c r="P202" s="39"/>
      <c r="Q202" s="39"/>
      <c r="R202" s="39"/>
      <c r="S202" s="39"/>
      <c r="T202" s="39"/>
      <c r="U202" s="39"/>
      <c r="V202" s="39"/>
      <c r="W202" s="39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35" t="s">
        <v>27</v>
      </c>
      <c r="B203" s="35" t="s">
        <v>22</v>
      </c>
      <c r="C203" s="35" t="s">
        <v>23</v>
      </c>
      <c r="D203" s="35" t="s">
        <v>24</v>
      </c>
      <c r="E203" s="35" t="s">
        <v>30</v>
      </c>
      <c r="F203" s="35" t="s">
        <v>25</v>
      </c>
      <c r="G203" s="35" t="s">
        <v>25</v>
      </c>
      <c r="H203" s="35" t="s">
        <v>25</v>
      </c>
      <c r="I203" s="54">
        <v>44652</v>
      </c>
      <c r="J203" s="55">
        <f>EFEITO!$J$203*EFEITO!$Y$134</f>
        <v>0</v>
      </c>
      <c r="K203" s="55">
        <f ca="1">EFEITO!$L$203*EFEITO!$Z$224</f>
        <v>-28.907394691726719</v>
      </c>
      <c r="L203" s="55">
        <f>EFEITO!$N$203*EFEITO!$AA$224</f>
        <v>-11.673444871108623</v>
      </c>
      <c r="M203" s="55">
        <f>$J$203-EFEITO!$K$203*EFEITO!$Y$203</f>
        <v>0</v>
      </c>
      <c r="N203" s="55">
        <f ca="1">$K$203-EFEITO!$M$203*EFEITO!$Z$203</f>
        <v>-11.562957876690689</v>
      </c>
      <c r="O203" s="55">
        <f>$L$203-EFEITO!$O$203*EFEITO!$AA$203</f>
        <v>-4.6693779484434499</v>
      </c>
      <c r="P203" s="39"/>
      <c r="Q203" s="39"/>
      <c r="R203" s="39"/>
      <c r="S203" s="39"/>
      <c r="T203" s="39"/>
      <c r="U203" s="39"/>
      <c r="V203" s="39"/>
      <c r="W203" s="39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35" t="s">
        <v>21</v>
      </c>
      <c r="B204" s="35" t="s">
        <v>22</v>
      </c>
      <c r="C204" s="35" t="s">
        <v>23</v>
      </c>
      <c r="D204" s="35" t="s">
        <v>24</v>
      </c>
      <c r="E204" s="35" t="s">
        <v>30</v>
      </c>
      <c r="F204" s="35" t="s">
        <v>25</v>
      </c>
      <c r="G204" s="35" t="s">
        <v>25</v>
      </c>
      <c r="H204" s="35" t="s">
        <v>25</v>
      </c>
      <c r="I204" s="54">
        <v>44682</v>
      </c>
      <c r="J204" s="55">
        <f>EFEITO!$J$204*EFEITO!$Y$134</f>
        <v>0</v>
      </c>
      <c r="K204" s="55">
        <f ca="1">EFEITO!$L$204*EFEITO!$Z$224</f>
        <v>6847.7488396887493</v>
      </c>
      <c r="L204" s="55">
        <f>EFEITO!$N$204*EFEITO!$AA$224</f>
        <v>2765.2723264674742</v>
      </c>
      <c r="M204" s="55">
        <f>$J$204-EFEITO!$K$204*EFEITO!$Y$204</f>
        <v>0</v>
      </c>
      <c r="N204" s="55">
        <f ca="1">$K$204-EFEITO!$M$204*EFEITO!$Z$204</f>
        <v>2739.0995358754999</v>
      </c>
      <c r="O204" s="55">
        <f>$L$204-EFEITO!$O$204*EFEITO!$AA$204</f>
        <v>1106.1089305869898</v>
      </c>
      <c r="P204" s="39"/>
      <c r="Q204" s="39"/>
      <c r="R204" s="39"/>
      <c r="S204" s="39"/>
      <c r="T204" s="39"/>
      <c r="U204" s="39"/>
      <c r="V204" s="39"/>
      <c r="W204" s="39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35" t="s">
        <v>28</v>
      </c>
      <c r="B205" s="35" t="s">
        <v>22</v>
      </c>
      <c r="C205" s="35" t="s">
        <v>23</v>
      </c>
      <c r="D205" s="35" t="s">
        <v>24</v>
      </c>
      <c r="E205" s="35" t="s">
        <v>30</v>
      </c>
      <c r="F205" s="35" t="s">
        <v>25</v>
      </c>
      <c r="G205" s="35" t="s">
        <v>25</v>
      </c>
      <c r="H205" s="35" t="s">
        <v>25</v>
      </c>
      <c r="I205" s="54">
        <v>44682</v>
      </c>
      <c r="J205" s="55">
        <f>EFEITO!$J$205*EFEITO!$Y$134</f>
        <v>0</v>
      </c>
      <c r="K205" s="55">
        <f ca="1">EFEITO!$L$205*EFEITO!$Z$224</f>
        <v>28.907394691726719</v>
      </c>
      <c r="L205" s="55">
        <f>EFEITO!$N$205*EFEITO!$AA$224</f>
        <v>11.673444871108623</v>
      </c>
      <c r="M205" s="55">
        <f>$J$205-EFEITO!$K$205*EFEITO!$Y$205</f>
        <v>0</v>
      </c>
      <c r="N205" s="55">
        <f ca="1">$K$205-EFEITO!$M$205*EFEITO!$Z$205</f>
        <v>32.376282054733927</v>
      </c>
      <c r="O205" s="55">
        <f>$L$205-EFEITO!$O$205*EFEITO!$AA$205</f>
        <v>13.074258255641658</v>
      </c>
      <c r="P205" s="39"/>
      <c r="Q205" s="39"/>
      <c r="R205" s="39"/>
      <c r="S205" s="39"/>
      <c r="T205" s="39"/>
      <c r="U205" s="39"/>
      <c r="V205" s="39"/>
      <c r="W205" s="39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35" t="s">
        <v>21</v>
      </c>
      <c r="B206" s="35" t="s">
        <v>22</v>
      </c>
      <c r="C206" s="35" t="s">
        <v>23</v>
      </c>
      <c r="D206" s="35" t="s">
        <v>24</v>
      </c>
      <c r="E206" s="35" t="s">
        <v>30</v>
      </c>
      <c r="F206" s="35" t="s">
        <v>25</v>
      </c>
      <c r="G206" s="35" t="s">
        <v>25</v>
      </c>
      <c r="H206" s="35" t="s">
        <v>25</v>
      </c>
      <c r="I206" s="54">
        <v>44713</v>
      </c>
      <c r="J206" s="55">
        <f>EFEITO!$J$206*EFEITO!$Y$134</f>
        <v>0</v>
      </c>
      <c r="K206" s="55">
        <f ca="1">EFEITO!$L$206*EFEITO!$Z$224</f>
        <v>6800.6710826193657</v>
      </c>
      <c r="L206" s="55">
        <f>EFEITO!$N$206*EFEITO!$AA$224</f>
        <v>2746.2612876773828</v>
      </c>
      <c r="M206" s="55">
        <f>$J$206-EFEITO!$K$206*EFEITO!$Y$206</f>
        <v>0</v>
      </c>
      <c r="N206" s="55">
        <f ca="1">$K$206-EFEITO!$M$206*EFEITO!$Z$206</f>
        <v>2720.2684330477468</v>
      </c>
      <c r="O206" s="55">
        <f>$L$206-EFEITO!$O$206*EFEITO!$AA$206</f>
        <v>1098.5045150709532</v>
      </c>
      <c r="P206" s="39"/>
      <c r="Q206" s="39"/>
      <c r="R206" s="39"/>
      <c r="S206" s="39"/>
      <c r="T206" s="39"/>
      <c r="U206" s="39"/>
      <c r="V206" s="39"/>
      <c r="W206" s="39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35" t="s">
        <v>21</v>
      </c>
      <c r="B207" s="35" t="s">
        <v>22</v>
      </c>
      <c r="C207" s="35" t="s">
        <v>23</v>
      </c>
      <c r="D207" s="35" t="s">
        <v>24</v>
      </c>
      <c r="E207" s="35" t="s">
        <v>30</v>
      </c>
      <c r="F207" s="35" t="s">
        <v>25</v>
      </c>
      <c r="G207" s="35" t="s">
        <v>25</v>
      </c>
      <c r="H207" s="35" t="s">
        <v>25</v>
      </c>
      <c r="I207" s="54">
        <v>44743</v>
      </c>
      <c r="J207" s="55">
        <f>EFEITO!$J$207*EFEITO!$Y$134</f>
        <v>0</v>
      </c>
      <c r="K207" s="55">
        <f ca="1">EFEITO!$L$207*EFEITO!$Z$224</f>
        <v>6567.7600739603104</v>
      </c>
      <c r="L207" s="55">
        <f>EFEITO!$N$207*EFEITO!$AA$224</f>
        <v>2652.2066747158788</v>
      </c>
      <c r="M207" s="55">
        <f>$J$207-EFEITO!$K$207*EFEITO!$Y$207</f>
        <v>0</v>
      </c>
      <c r="N207" s="55">
        <f ca="1">$K$207-EFEITO!$M$207*EFEITO!$Z$207</f>
        <v>2627.1040295841244</v>
      </c>
      <c r="O207" s="55">
        <f>$L$207-EFEITO!$O$207*EFEITO!$AA$207</f>
        <v>1060.8826698863516</v>
      </c>
      <c r="P207" s="39"/>
      <c r="Q207" s="39"/>
      <c r="R207" s="39"/>
      <c r="S207" s="39"/>
      <c r="T207" s="39"/>
      <c r="U207" s="39"/>
      <c r="V207" s="39"/>
      <c r="W207" s="39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35" t="s">
        <v>21</v>
      </c>
      <c r="B208" s="35" t="s">
        <v>22</v>
      </c>
      <c r="C208" s="35" t="s">
        <v>23</v>
      </c>
      <c r="D208" s="35" t="s">
        <v>24</v>
      </c>
      <c r="E208" s="35" t="s">
        <v>30</v>
      </c>
      <c r="F208" s="35" t="s">
        <v>25</v>
      </c>
      <c r="G208" s="35" t="s">
        <v>25</v>
      </c>
      <c r="H208" s="35" t="s">
        <v>25</v>
      </c>
      <c r="I208" s="54">
        <v>44774</v>
      </c>
      <c r="J208" s="55">
        <f>EFEITO!$J$208*EFEITO!$Y$134</f>
        <v>0</v>
      </c>
      <c r="K208" s="55">
        <f ca="1">EFEITO!$L$208*EFEITO!$Z$224</f>
        <v>5556.8271853124952</v>
      </c>
      <c r="L208" s="55">
        <f>EFEITO!$N$208*EFEITO!$AA$224</f>
        <v>2243.9696312233946</v>
      </c>
      <c r="M208" s="55">
        <f>$J$208-EFEITO!$K$208*EFEITO!$Y$208</f>
        <v>0</v>
      </c>
      <c r="N208" s="55">
        <f ca="1">$K$208-EFEITO!$M$208*EFEITO!$Z$208</f>
        <v>2222.7308741249981</v>
      </c>
      <c r="O208" s="55">
        <f>$L$208-EFEITO!$O$208*EFEITO!$AA$208</f>
        <v>897.58785248935783</v>
      </c>
      <c r="P208" s="39"/>
      <c r="Q208" s="39"/>
      <c r="R208" s="39"/>
      <c r="S208" s="39"/>
      <c r="T208" s="39"/>
      <c r="U208" s="39"/>
      <c r="V208" s="39"/>
      <c r="W208" s="39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35" t="s">
        <v>21</v>
      </c>
      <c r="B209" s="35" t="s">
        <v>22</v>
      </c>
      <c r="C209" s="35" t="s">
        <v>23</v>
      </c>
      <c r="D209" s="35" t="s">
        <v>24</v>
      </c>
      <c r="E209" s="35" t="s">
        <v>31</v>
      </c>
      <c r="F209" s="35" t="s">
        <v>25</v>
      </c>
      <c r="G209" s="35" t="s">
        <v>25</v>
      </c>
      <c r="H209" s="35" t="s">
        <v>25</v>
      </c>
      <c r="I209" s="54">
        <v>44440</v>
      </c>
      <c r="J209" s="55">
        <f>EFEITO!$J$209*EFEITO!$Y$134</f>
        <v>0</v>
      </c>
      <c r="K209" s="55">
        <f ca="1">EFEITO!$L$209*EFEITO!$Z$224</f>
        <v>4630.1387040519994</v>
      </c>
      <c r="L209" s="55">
        <f>EFEITO!$N$209*EFEITO!$AA$224</f>
        <v>1869.7523413552838</v>
      </c>
      <c r="M209" s="55">
        <f>$J$209-EFEITO!$K$209*EFEITO!$Y$209</f>
        <v>0</v>
      </c>
      <c r="N209" s="55">
        <f ca="1">$K$209-EFEITO!$M$209*EFEITO!$Z$209</f>
        <v>463.01387040519967</v>
      </c>
      <c r="O209" s="55">
        <f>$L$209-EFEITO!$O$209*EFEITO!$AA$209</f>
        <v>186.97523413552835</v>
      </c>
      <c r="P209" s="39"/>
      <c r="Q209" s="39"/>
      <c r="R209" s="39"/>
      <c r="S209" s="39"/>
      <c r="T209" s="39"/>
      <c r="U209" s="39"/>
      <c r="V209" s="39"/>
      <c r="W209" s="39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35" t="s">
        <v>21</v>
      </c>
      <c r="B210" s="35" t="s">
        <v>22</v>
      </c>
      <c r="C210" s="35" t="s">
        <v>23</v>
      </c>
      <c r="D210" s="35" t="s">
        <v>24</v>
      </c>
      <c r="E210" s="35" t="s">
        <v>31</v>
      </c>
      <c r="F210" s="35" t="s">
        <v>25</v>
      </c>
      <c r="G210" s="35" t="s">
        <v>25</v>
      </c>
      <c r="H210" s="35" t="s">
        <v>25</v>
      </c>
      <c r="I210" s="54">
        <v>44470</v>
      </c>
      <c r="J210" s="55">
        <f>EFEITO!$J$210*EFEITO!$Y$134</f>
        <v>0</v>
      </c>
      <c r="K210" s="55">
        <f ca="1">EFEITO!$L$210*EFEITO!$Z$224</f>
        <v>4609.4905649864804</v>
      </c>
      <c r="L210" s="55">
        <f>EFEITO!$N$210*EFEITO!$AA$224</f>
        <v>1861.4141664473493</v>
      </c>
      <c r="M210" s="55">
        <f>$J$210-EFEITO!$K$210*EFEITO!$Y$210</f>
        <v>0</v>
      </c>
      <c r="N210" s="55">
        <f ca="1">$K$210-EFEITO!$M$210*EFEITO!$Z$210</f>
        <v>460.94905649864813</v>
      </c>
      <c r="O210" s="55">
        <f>$L$210-EFEITO!$O$210*EFEITO!$AA$210</f>
        <v>186.14141664473482</v>
      </c>
      <c r="P210" s="39"/>
      <c r="Q210" s="39"/>
      <c r="R210" s="39"/>
      <c r="S210" s="39"/>
      <c r="T210" s="39"/>
      <c r="U210" s="39"/>
      <c r="V210" s="39"/>
      <c r="W210" s="39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35" t="s">
        <v>21</v>
      </c>
      <c r="B211" s="35" t="s">
        <v>22</v>
      </c>
      <c r="C211" s="35" t="s">
        <v>23</v>
      </c>
      <c r="D211" s="35" t="s">
        <v>24</v>
      </c>
      <c r="E211" s="35" t="s">
        <v>31</v>
      </c>
      <c r="F211" s="35" t="s">
        <v>25</v>
      </c>
      <c r="G211" s="35" t="s">
        <v>25</v>
      </c>
      <c r="H211" s="35" t="s">
        <v>25</v>
      </c>
      <c r="I211" s="54">
        <v>44501</v>
      </c>
      <c r="J211" s="55">
        <f>EFEITO!$J$211*EFEITO!$Y$134</f>
        <v>0</v>
      </c>
      <c r="K211" s="55">
        <f ca="1">EFEITO!$L$211*EFEITO!$Z$224</f>
        <v>4232.0425828687912</v>
      </c>
      <c r="L211" s="55">
        <f>EFEITO!$N$211*EFEITO!$AA$224</f>
        <v>1708.9923291303021</v>
      </c>
      <c r="M211" s="55">
        <f>$J$211-EFEITO!$K$211*EFEITO!$Y$211</f>
        <v>0</v>
      </c>
      <c r="N211" s="55">
        <f ca="1">$K$211-EFEITO!$M$211*EFEITO!$Z$211</f>
        <v>423.20425828687894</v>
      </c>
      <c r="O211" s="55">
        <f>$L$211-EFEITO!$O$211*EFEITO!$AA$211</f>
        <v>170.89923291303012</v>
      </c>
      <c r="P211" s="39"/>
      <c r="Q211" s="39"/>
      <c r="R211" s="39"/>
      <c r="S211" s="39"/>
      <c r="T211" s="39"/>
      <c r="U211" s="39"/>
      <c r="V211" s="39"/>
      <c r="W211" s="39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35" t="s">
        <v>27</v>
      </c>
      <c r="B212" s="35" t="s">
        <v>22</v>
      </c>
      <c r="C212" s="35" t="s">
        <v>23</v>
      </c>
      <c r="D212" s="35" t="s">
        <v>24</v>
      </c>
      <c r="E212" s="35" t="s">
        <v>31</v>
      </c>
      <c r="F212" s="35" t="s">
        <v>25</v>
      </c>
      <c r="G212" s="35" t="s">
        <v>25</v>
      </c>
      <c r="H212" s="35" t="s">
        <v>25</v>
      </c>
      <c r="I212" s="54">
        <v>44501</v>
      </c>
      <c r="J212" s="55">
        <f>EFEITO!$J$212*EFEITO!$Y$134</f>
        <v>0</v>
      </c>
      <c r="K212" s="55">
        <f ca="1">EFEITO!$L$212*EFEITO!$Z$224</f>
        <v>19.409250721587938</v>
      </c>
      <c r="L212" s="55">
        <f>EFEITO!$N$212*EFEITO!$AA$224</f>
        <v>7.8378844134586467</v>
      </c>
      <c r="M212" s="55">
        <f>$J$212-EFEITO!$K$212*EFEITO!$Y$212</f>
        <v>0</v>
      </c>
      <c r="N212" s="55">
        <f ca="1">$K$212-EFEITO!$M$212*EFEITO!$Z$212</f>
        <v>1.940925072158791</v>
      </c>
      <c r="O212" s="55">
        <f>$L$212-EFEITO!$O$212*EFEITO!$AA$212</f>
        <v>0.78378844134586512</v>
      </c>
      <c r="P212" s="39"/>
      <c r="Q212" s="39"/>
      <c r="R212" s="39"/>
      <c r="S212" s="39"/>
      <c r="T212" s="39"/>
      <c r="U212" s="39"/>
      <c r="V212" s="39"/>
      <c r="W212" s="39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35" t="s">
        <v>21</v>
      </c>
      <c r="B213" s="35" t="s">
        <v>22</v>
      </c>
      <c r="C213" s="35" t="s">
        <v>23</v>
      </c>
      <c r="D213" s="35" t="s">
        <v>24</v>
      </c>
      <c r="E213" s="35" t="s">
        <v>31</v>
      </c>
      <c r="F213" s="35" t="s">
        <v>25</v>
      </c>
      <c r="G213" s="35" t="s">
        <v>25</v>
      </c>
      <c r="H213" s="35" t="s">
        <v>25</v>
      </c>
      <c r="I213" s="54">
        <v>44531</v>
      </c>
      <c r="J213" s="55">
        <f>EFEITO!$J$213*EFEITO!$Y$134</f>
        <v>0</v>
      </c>
      <c r="K213" s="55">
        <f ca="1">EFEITO!$L$213*EFEITO!$Z$224</f>
        <v>4723.0553298468349</v>
      </c>
      <c r="L213" s="55">
        <f>EFEITO!$N$213*EFEITO!$AA$224</f>
        <v>1907.2741284409901</v>
      </c>
      <c r="M213" s="55">
        <f>$J$213-EFEITO!$K$213*EFEITO!$Y$213</f>
        <v>0</v>
      </c>
      <c r="N213" s="55">
        <f ca="1">$K$213-EFEITO!$M$213*EFEITO!$Z$213</f>
        <v>472.30553298468294</v>
      </c>
      <c r="O213" s="55">
        <f>$L$213-EFEITO!$O$213*EFEITO!$AA$213</f>
        <v>190.72741284409904</v>
      </c>
      <c r="P213" s="39"/>
      <c r="Q213" s="39"/>
      <c r="R213" s="39"/>
      <c r="S213" s="39"/>
      <c r="T213" s="39"/>
      <c r="U213" s="39"/>
      <c r="V213" s="39"/>
      <c r="W213" s="39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35" t="s">
        <v>21</v>
      </c>
      <c r="B214" s="35" t="s">
        <v>22</v>
      </c>
      <c r="C214" s="35" t="s">
        <v>23</v>
      </c>
      <c r="D214" s="35" t="s">
        <v>24</v>
      </c>
      <c r="E214" s="35" t="s">
        <v>31</v>
      </c>
      <c r="F214" s="35" t="s">
        <v>25</v>
      </c>
      <c r="G214" s="35" t="s">
        <v>25</v>
      </c>
      <c r="H214" s="35" t="s">
        <v>25</v>
      </c>
      <c r="I214" s="54">
        <v>44562</v>
      </c>
      <c r="J214" s="55">
        <f>EFEITO!$J$214*EFEITO!$Y$134</f>
        <v>0</v>
      </c>
      <c r="K214" s="55">
        <f ca="1">EFEITO!$L$214*EFEITO!$Z$224</f>
        <v>5704.2548982403023</v>
      </c>
      <c r="L214" s="55">
        <f>EFEITO!$N$214*EFEITO!$AA$224</f>
        <v>2303.5042000660487</v>
      </c>
      <c r="M214" s="55">
        <f>$J$214-EFEITO!$K$214*EFEITO!$Y$214</f>
        <v>0</v>
      </c>
      <c r="N214" s="55">
        <f ca="1">$K$214-EFEITO!$M$214*EFEITO!$Z$214</f>
        <v>570.42548982402968</v>
      </c>
      <c r="O214" s="55">
        <f>$L$214-EFEITO!$O$214*EFEITO!$AA$214</f>
        <v>230.35042000660496</v>
      </c>
      <c r="P214" s="39"/>
      <c r="Q214" s="39"/>
      <c r="R214" s="39"/>
      <c r="S214" s="39"/>
      <c r="T214" s="39"/>
      <c r="U214" s="39"/>
      <c r="V214" s="39"/>
      <c r="W214" s="39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35" t="s">
        <v>21</v>
      </c>
      <c r="B215" s="35" t="s">
        <v>22</v>
      </c>
      <c r="C215" s="35" t="s">
        <v>23</v>
      </c>
      <c r="D215" s="35" t="s">
        <v>24</v>
      </c>
      <c r="E215" s="35" t="s">
        <v>31</v>
      </c>
      <c r="F215" s="35" t="s">
        <v>25</v>
      </c>
      <c r="G215" s="35" t="s">
        <v>25</v>
      </c>
      <c r="H215" s="35" t="s">
        <v>25</v>
      </c>
      <c r="I215" s="54">
        <v>44593</v>
      </c>
      <c r="J215" s="55">
        <f>EFEITO!$J$215*EFEITO!$Y$134</f>
        <v>0</v>
      </c>
      <c r="K215" s="55">
        <f ca="1">EFEITO!$L$215*EFEITO!$Z$224</f>
        <v>6018.5195748175029</v>
      </c>
      <c r="L215" s="55">
        <f>EFEITO!$N$215*EFEITO!$AA$224</f>
        <v>2430.4112221648152</v>
      </c>
      <c r="M215" s="55">
        <f>$J$215-EFEITO!$K$215*EFEITO!$Y$215</f>
        <v>0</v>
      </c>
      <c r="N215" s="55">
        <f ca="1">$K$215-EFEITO!$M$215*EFEITO!$Z$215</f>
        <v>601.85195748175011</v>
      </c>
      <c r="O215" s="55">
        <f>$L$215-EFEITO!$O$215*EFEITO!$AA$215</f>
        <v>243.04112221648165</v>
      </c>
      <c r="P215" s="39"/>
      <c r="Q215" s="39"/>
      <c r="R215" s="39"/>
      <c r="S215" s="39"/>
      <c r="T215" s="39"/>
      <c r="U215" s="39"/>
      <c r="V215" s="39"/>
      <c r="W215" s="39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35" t="s">
        <v>21</v>
      </c>
      <c r="B216" s="35" t="s">
        <v>22</v>
      </c>
      <c r="C216" s="35" t="s">
        <v>23</v>
      </c>
      <c r="D216" s="35" t="s">
        <v>24</v>
      </c>
      <c r="E216" s="35" t="s">
        <v>31</v>
      </c>
      <c r="F216" s="35" t="s">
        <v>25</v>
      </c>
      <c r="G216" s="35" t="s">
        <v>25</v>
      </c>
      <c r="H216" s="35" t="s">
        <v>25</v>
      </c>
      <c r="I216" s="54">
        <v>44621</v>
      </c>
      <c r="J216" s="55">
        <f>EFEITO!$J$216*EFEITO!$Y$134</f>
        <v>0</v>
      </c>
      <c r="K216" s="55">
        <f ca="1">EFEITO!$L$216*EFEITO!$Z$224</f>
        <v>6454.6082718812659</v>
      </c>
      <c r="L216" s="55">
        <f>EFEITO!$N$216*EFEITO!$AA$224</f>
        <v>2606.5134762203966</v>
      </c>
      <c r="M216" s="55">
        <f>$J$216-EFEITO!$K$216*EFEITO!$Y$216</f>
        <v>0</v>
      </c>
      <c r="N216" s="55">
        <f ca="1">$K$216-EFEITO!$M$216*EFEITO!$Z$216</f>
        <v>645.46082718812613</v>
      </c>
      <c r="O216" s="55">
        <f>$L$216-EFEITO!$O$216*EFEITO!$AA$216</f>
        <v>260.65134762203934</v>
      </c>
      <c r="P216" s="39"/>
      <c r="Q216" s="39"/>
      <c r="R216" s="39"/>
      <c r="S216" s="39"/>
      <c r="T216" s="39"/>
      <c r="U216" s="39"/>
      <c r="V216" s="39"/>
      <c r="W216" s="39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35" t="s">
        <v>21</v>
      </c>
      <c r="B217" s="35" t="s">
        <v>22</v>
      </c>
      <c r="C217" s="35" t="s">
        <v>23</v>
      </c>
      <c r="D217" s="35" t="s">
        <v>24</v>
      </c>
      <c r="E217" s="35" t="s">
        <v>31</v>
      </c>
      <c r="F217" s="35" t="s">
        <v>25</v>
      </c>
      <c r="G217" s="35" t="s">
        <v>25</v>
      </c>
      <c r="H217" s="35" t="s">
        <v>25</v>
      </c>
      <c r="I217" s="54">
        <v>44652</v>
      </c>
      <c r="J217" s="55">
        <f>EFEITO!$J$217*EFEITO!$Y$134</f>
        <v>0</v>
      </c>
      <c r="K217" s="55">
        <f ca="1">EFEITO!$L$217*EFEITO!$Z$224</f>
        <v>10413.269493522585</v>
      </c>
      <c r="L217" s="55">
        <f>EFEITO!$N$217*EFEITO!$AA$224</f>
        <v>4205.1083695696434</v>
      </c>
      <c r="M217" s="55">
        <f>$J$217-EFEITO!$K$217*EFEITO!$Y$217</f>
        <v>0</v>
      </c>
      <c r="N217" s="55">
        <f ca="1">$K$217-EFEITO!$M$217*EFEITO!$Z$217</f>
        <v>1041.3269493522585</v>
      </c>
      <c r="O217" s="55">
        <f>$L$217-EFEITO!$O$217*EFEITO!$AA$217</f>
        <v>420.51083695696434</v>
      </c>
      <c r="P217" s="39"/>
      <c r="Q217" s="39"/>
      <c r="R217" s="39"/>
      <c r="S217" s="39"/>
      <c r="T217" s="39"/>
      <c r="U217" s="39"/>
      <c r="V217" s="39"/>
      <c r="W217" s="39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35" t="s">
        <v>27</v>
      </c>
      <c r="B218" s="35" t="s">
        <v>22</v>
      </c>
      <c r="C218" s="35" t="s">
        <v>23</v>
      </c>
      <c r="D218" s="35" t="s">
        <v>24</v>
      </c>
      <c r="E218" s="35" t="s">
        <v>31</v>
      </c>
      <c r="F218" s="35" t="s">
        <v>25</v>
      </c>
      <c r="G218" s="35" t="s">
        <v>25</v>
      </c>
      <c r="H218" s="35" t="s">
        <v>25</v>
      </c>
      <c r="I218" s="54">
        <v>44652</v>
      </c>
      <c r="J218" s="55">
        <f>EFEITO!$J$218*EFEITO!$Y$134</f>
        <v>0</v>
      </c>
      <c r="K218" s="55">
        <f ca="1">EFEITO!$L$218*EFEITO!$Z$224</f>
        <v>-20.648139065519086</v>
      </c>
      <c r="L218" s="55">
        <f>EFEITO!$N$218*EFEITO!$AA$224</f>
        <v>-8.3381749079347305</v>
      </c>
      <c r="M218" s="55">
        <f>$J$218-EFEITO!$K$218*EFEITO!$Y$218</f>
        <v>0</v>
      </c>
      <c r="N218" s="55">
        <f ca="1">$K$218-EFEITO!$M$218*EFEITO!$Z$218</f>
        <v>-2.0648139065519082</v>
      </c>
      <c r="O218" s="55">
        <f>$L$218-EFEITO!$O$218*EFEITO!$AA$218</f>
        <v>-0.83381749079347323</v>
      </c>
      <c r="P218" s="39"/>
      <c r="Q218" s="39"/>
      <c r="R218" s="39"/>
      <c r="S218" s="39"/>
      <c r="T218" s="39"/>
      <c r="U218" s="39"/>
      <c r="V218" s="39"/>
      <c r="W218" s="39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35" t="s">
        <v>21</v>
      </c>
      <c r="B219" s="35" t="s">
        <v>22</v>
      </c>
      <c r="C219" s="35" t="s">
        <v>23</v>
      </c>
      <c r="D219" s="35" t="s">
        <v>24</v>
      </c>
      <c r="E219" s="35" t="s">
        <v>31</v>
      </c>
      <c r="F219" s="35" t="s">
        <v>25</v>
      </c>
      <c r="G219" s="35" t="s">
        <v>25</v>
      </c>
      <c r="H219" s="35" t="s">
        <v>25</v>
      </c>
      <c r="I219" s="54">
        <v>44682</v>
      </c>
      <c r="J219" s="55">
        <f>EFEITO!$J$219*EFEITO!$Y$134</f>
        <v>0</v>
      </c>
      <c r="K219" s="55">
        <f ca="1">EFEITO!$L$219*EFEITO!$Z$224</f>
        <v>6554.5452649583776</v>
      </c>
      <c r="L219" s="55">
        <f>EFEITO!$N$219*EFEITO!$AA$224</f>
        <v>2646.8702427748008</v>
      </c>
      <c r="M219" s="55">
        <f>$J$219-EFEITO!$K$219*EFEITO!$Y$219</f>
        <v>0</v>
      </c>
      <c r="N219" s="55">
        <f ca="1">$K$219-EFEITO!$M$219*EFEITO!$Z$219</f>
        <v>655.45452649583694</v>
      </c>
      <c r="O219" s="55">
        <f>$L$219-EFEITO!$O$219*EFEITO!$AA$219</f>
        <v>264.6870242774803</v>
      </c>
      <c r="P219" s="39"/>
      <c r="Q219" s="39"/>
      <c r="R219" s="39"/>
      <c r="S219" s="39"/>
      <c r="T219" s="39"/>
      <c r="U219" s="39"/>
      <c r="V219" s="39"/>
      <c r="W219" s="39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35" t="s">
        <v>28</v>
      </c>
      <c r="B220" s="35" t="s">
        <v>22</v>
      </c>
      <c r="C220" s="35" t="s">
        <v>23</v>
      </c>
      <c r="D220" s="35" t="s">
        <v>24</v>
      </c>
      <c r="E220" s="35" t="s">
        <v>31</v>
      </c>
      <c r="F220" s="35" t="s">
        <v>25</v>
      </c>
      <c r="G220" s="35" t="s">
        <v>25</v>
      </c>
      <c r="H220" s="35" t="s">
        <v>25</v>
      </c>
      <c r="I220" s="54">
        <v>44682</v>
      </c>
      <c r="J220" s="55">
        <f>EFEITO!$J$220*EFEITO!$Y$134</f>
        <v>0</v>
      </c>
      <c r="K220" s="55">
        <f ca="1">EFEITO!$L$220*EFEITO!$Z$224</f>
        <v>14.040734564552977</v>
      </c>
      <c r="L220" s="55">
        <f>EFEITO!$N$220*EFEITO!$AA$224</f>
        <v>5.6699589373956165</v>
      </c>
      <c r="M220" s="55">
        <f>$J$220-EFEITO!$K$220*EFEITO!$Y$220</f>
        <v>0</v>
      </c>
      <c r="N220" s="55">
        <f ca="1">$K$220-EFEITO!$M$220*EFEITO!$Z$220</f>
        <v>5.1950717888846007</v>
      </c>
      <c r="O220" s="55">
        <f>$L$220-EFEITO!$O$220*EFEITO!$AA$220</f>
        <v>2.0978848068363778</v>
      </c>
      <c r="P220" s="39"/>
      <c r="Q220" s="39"/>
      <c r="R220" s="39"/>
      <c r="S220" s="39"/>
      <c r="T220" s="39"/>
      <c r="U220" s="39"/>
      <c r="V220" s="39"/>
      <c r="W220" s="39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35" t="s">
        <v>21</v>
      </c>
      <c r="B221" s="35" t="s">
        <v>22</v>
      </c>
      <c r="C221" s="35" t="s">
        <v>23</v>
      </c>
      <c r="D221" s="35" t="s">
        <v>24</v>
      </c>
      <c r="E221" s="35" t="s">
        <v>31</v>
      </c>
      <c r="F221" s="35" t="s">
        <v>25</v>
      </c>
      <c r="G221" s="35" t="s">
        <v>25</v>
      </c>
      <c r="H221" s="35" t="s">
        <v>25</v>
      </c>
      <c r="I221" s="54">
        <v>44713</v>
      </c>
      <c r="J221" s="55">
        <f>EFEITO!$J$221*EFEITO!$Y$134</f>
        <v>0</v>
      </c>
      <c r="K221" s="55">
        <f ca="1">EFEITO!$L$221*EFEITO!$Z$224</f>
        <v>7023.6709845269716</v>
      </c>
      <c r="L221" s="55">
        <f>EFEITO!$N$221*EFEITO!$AA$224</f>
        <v>2836.3135766830778</v>
      </c>
      <c r="M221" s="55">
        <f>$J$221-EFEITO!$K$221*EFEITO!$Y$221</f>
        <v>0</v>
      </c>
      <c r="N221" s="55">
        <f ca="1">$K$221-EFEITO!$M$221*EFEITO!$Z$221</f>
        <v>702.36709845269706</v>
      </c>
      <c r="O221" s="55">
        <f>$L$221-EFEITO!$O$221*EFEITO!$AA$221</f>
        <v>283.63135766830783</v>
      </c>
      <c r="P221" s="39"/>
      <c r="Q221" s="39"/>
      <c r="R221" s="39"/>
      <c r="S221" s="39"/>
      <c r="T221" s="39"/>
      <c r="U221" s="39"/>
      <c r="V221" s="39"/>
      <c r="W221" s="39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35" t="s">
        <v>21</v>
      </c>
      <c r="B222" s="35" t="s">
        <v>22</v>
      </c>
      <c r="C222" s="35" t="s">
        <v>23</v>
      </c>
      <c r="D222" s="35" t="s">
        <v>24</v>
      </c>
      <c r="E222" s="35" t="s">
        <v>31</v>
      </c>
      <c r="F222" s="35" t="s">
        <v>25</v>
      </c>
      <c r="G222" s="35" t="s">
        <v>25</v>
      </c>
      <c r="H222" s="35" t="s">
        <v>25</v>
      </c>
      <c r="I222" s="54">
        <v>44743</v>
      </c>
      <c r="J222" s="55">
        <f>EFEITO!$J$222*EFEITO!$Y$134</f>
        <v>0</v>
      </c>
      <c r="K222" s="55">
        <f ca="1">EFEITO!$L$222*EFEITO!$Z$224</f>
        <v>5727.3808139936837</v>
      </c>
      <c r="L222" s="55">
        <f>EFEITO!$N$222*EFEITO!$AA$224</f>
        <v>2312.8429559629353</v>
      </c>
      <c r="M222" s="55">
        <f>$J$222-EFEITO!$K$222*EFEITO!$Y$222</f>
        <v>0</v>
      </c>
      <c r="N222" s="55">
        <f ca="1">$K$222-EFEITO!$M$222*EFEITO!$Z$222</f>
        <v>572.73808139936864</v>
      </c>
      <c r="O222" s="55">
        <f>$L$222-EFEITO!$O$222*EFEITO!$AA$222</f>
        <v>231.2842955962933</v>
      </c>
      <c r="P222" s="39"/>
      <c r="Q222" s="39"/>
      <c r="R222" s="39"/>
      <c r="S222" s="39"/>
      <c r="T222" s="39"/>
      <c r="U222" s="39"/>
      <c r="V222" s="39"/>
      <c r="W222" s="39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35" t="s">
        <v>21</v>
      </c>
      <c r="B223" s="35" t="s">
        <v>22</v>
      </c>
      <c r="C223" s="35" t="s">
        <v>23</v>
      </c>
      <c r="D223" s="35" t="s">
        <v>24</v>
      </c>
      <c r="E223" s="35" t="s">
        <v>31</v>
      </c>
      <c r="F223" s="35" t="s">
        <v>25</v>
      </c>
      <c r="G223" s="35" t="s">
        <v>25</v>
      </c>
      <c r="H223" s="35" t="s">
        <v>25</v>
      </c>
      <c r="I223" s="54">
        <v>44774</v>
      </c>
      <c r="J223" s="55">
        <f>EFEITO!$J$223*EFEITO!$Y$134</f>
        <v>0</v>
      </c>
      <c r="K223" s="55">
        <f ca="1">EFEITO!$L$223*EFEITO!$Z$224</f>
        <v>5805.8437424426556</v>
      </c>
      <c r="L223" s="55">
        <f>EFEITO!$N$223*EFEITO!$AA$224</f>
        <v>2344.5280206130874</v>
      </c>
      <c r="M223" s="55">
        <f>$J$223-EFEITO!$K$223*EFEITO!$Y$223</f>
        <v>0</v>
      </c>
      <c r="N223" s="55">
        <f ca="1">$K$223-EFEITO!$M$223*EFEITO!$Z$223</f>
        <v>580.58437424426575</v>
      </c>
      <c r="O223" s="55">
        <f>$L$223-EFEITO!$O$223*EFEITO!$AA$223</f>
        <v>234.45280206130883</v>
      </c>
      <c r="P223" s="39"/>
      <c r="Q223" s="39"/>
      <c r="R223" s="39"/>
      <c r="S223" s="39"/>
      <c r="T223" s="39"/>
      <c r="U223" s="39"/>
      <c r="V223" s="39"/>
      <c r="W223" s="39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35" t="s">
        <v>21</v>
      </c>
      <c r="B224" s="35" t="s">
        <v>22</v>
      </c>
      <c r="C224" s="35" t="s">
        <v>23</v>
      </c>
      <c r="D224" s="35" t="s">
        <v>24</v>
      </c>
      <c r="E224" s="35" t="s">
        <v>32</v>
      </c>
      <c r="F224" s="35" t="s">
        <v>25</v>
      </c>
      <c r="G224" s="35" t="s">
        <v>25</v>
      </c>
      <c r="H224" s="35" t="s">
        <v>25</v>
      </c>
      <c r="I224" s="54">
        <v>44440</v>
      </c>
      <c r="J224" s="55">
        <f>EFEITO!$J$224*EFEITO!$Y$134</f>
        <v>0</v>
      </c>
      <c r="K224" s="55">
        <f ca="1">EFEITO!$L$224*EFEITO!$Z$224</f>
        <v>1144.732829792378</v>
      </c>
      <c r="L224" s="55">
        <f>EFEITO!$N$224*EFEITO!$AA$224</f>
        <v>462.2684168959014</v>
      </c>
      <c r="M224" s="55">
        <f>$J$224-EFEITO!$K$224*EFEITO!$Y$224</f>
        <v>0</v>
      </c>
      <c r="N224" s="55">
        <f ca="1">$K$224-EFEITO!$M$224*EFEITO!$Z$224</f>
        <v>0</v>
      </c>
      <c r="O224" s="55">
        <f>$L$224-EFEITO!$O$224*EFEITO!$AA$224</f>
        <v>0</v>
      </c>
      <c r="P224" s="39"/>
      <c r="Q224" s="39"/>
      <c r="R224" s="39"/>
      <c r="S224" s="39"/>
      <c r="T224" s="39"/>
      <c r="U224" s="39"/>
      <c r="V224" s="39"/>
      <c r="W224" s="39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35" t="s">
        <v>21</v>
      </c>
      <c r="B225" s="35" t="s">
        <v>22</v>
      </c>
      <c r="C225" s="35" t="s">
        <v>23</v>
      </c>
      <c r="D225" s="35" t="s">
        <v>24</v>
      </c>
      <c r="E225" s="35" t="s">
        <v>32</v>
      </c>
      <c r="F225" s="35" t="s">
        <v>25</v>
      </c>
      <c r="G225" s="35" t="s">
        <v>25</v>
      </c>
      <c r="H225" s="35" t="s">
        <v>25</v>
      </c>
      <c r="I225" s="54">
        <v>44470</v>
      </c>
      <c r="J225" s="55">
        <f>EFEITO!$J$225*EFEITO!$Y$134</f>
        <v>0</v>
      </c>
      <c r="K225" s="55">
        <f ca="1">EFEITO!$L$225*EFEITO!$Z$224</f>
        <v>1235.1716788993517</v>
      </c>
      <c r="L225" s="55">
        <f>EFEITO!$N$225*EFEITO!$AA$224</f>
        <v>498.78962299265555</v>
      </c>
      <c r="M225" s="55">
        <f>$J$225-EFEITO!$K$225*EFEITO!$Y$225</f>
        <v>0</v>
      </c>
      <c r="N225" s="55">
        <f ca="1">$K$225-EFEITO!$M$225*EFEITO!$Z$225</f>
        <v>0</v>
      </c>
      <c r="O225" s="55">
        <f>$L$225-EFEITO!$O$225*EFEITO!$AA$225</f>
        <v>0</v>
      </c>
      <c r="P225" s="39"/>
      <c r="Q225" s="39"/>
      <c r="R225" s="39"/>
      <c r="S225" s="39"/>
      <c r="T225" s="39"/>
      <c r="U225" s="39"/>
      <c r="V225" s="39"/>
      <c r="W225" s="39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35" t="s">
        <v>21</v>
      </c>
      <c r="B226" s="35" t="s">
        <v>22</v>
      </c>
      <c r="C226" s="35" t="s">
        <v>23</v>
      </c>
      <c r="D226" s="35" t="s">
        <v>24</v>
      </c>
      <c r="E226" s="35" t="s">
        <v>32</v>
      </c>
      <c r="F226" s="35" t="s">
        <v>25</v>
      </c>
      <c r="G226" s="35" t="s">
        <v>25</v>
      </c>
      <c r="H226" s="35" t="s">
        <v>25</v>
      </c>
      <c r="I226" s="54">
        <v>44501</v>
      </c>
      <c r="J226" s="55">
        <f>EFEITO!$J$226*EFEITO!$Y$134</f>
        <v>0</v>
      </c>
      <c r="K226" s="55">
        <f ca="1">EFEITO!$L$226*EFEITO!$Z$224</f>
        <v>1062.1402735303018</v>
      </c>
      <c r="L226" s="55">
        <f>EFEITO!$N$226*EFEITO!$AA$224</f>
        <v>428.91571726416254</v>
      </c>
      <c r="M226" s="55">
        <f>$J$226-EFEITO!$K$226*EFEITO!$Y$226</f>
        <v>0</v>
      </c>
      <c r="N226" s="55">
        <f ca="1">$K$226-EFEITO!$M$226*EFEITO!$Z$226</f>
        <v>0</v>
      </c>
      <c r="O226" s="55">
        <f>$L$226-EFEITO!$O$226*EFEITO!$AA$226</f>
        <v>0</v>
      </c>
      <c r="P226" s="39"/>
      <c r="Q226" s="39"/>
      <c r="R226" s="39"/>
      <c r="S226" s="39"/>
      <c r="T226" s="39"/>
      <c r="U226" s="39"/>
      <c r="V226" s="39"/>
      <c r="W226" s="39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35" t="s">
        <v>27</v>
      </c>
      <c r="B227" s="35" t="s">
        <v>22</v>
      </c>
      <c r="C227" s="35" t="s">
        <v>23</v>
      </c>
      <c r="D227" s="35" t="s">
        <v>24</v>
      </c>
      <c r="E227" s="35" t="s">
        <v>32</v>
      </c>
      <c r="F227" s="35" t="s">
        <v>25</v>
      </c>
      <c r="G227" s="35" t="s">
        <v>25</v>
      </c>
      <c r="H227" s="35" t="s">
        <v>25</v>
      </c>
      <c r="I227" s="54">
        <v>44501</v>
      </c>
      <c r="J227" s="55">
        <f>EFEITO!$J$227*EFEITO!$Y$134</f>
        <v>0</v>
      </c>
      <c r="K227" s="55">
        <f ca="1">EFEITO!$L$227*EFEITO!$Z$224</f>
        <v>4.1296278131038164</v>
      </c>
      <c r="L227" s="55">
        <f>EFEITO!$N$227*EFEITO!$AA$224</f>
        <v>1.667634981586946</v>
      </c>
      <c r="M227" s="55">
        <f>$J$227-EFEITO!$K$227*EFEITO!$Y$227</f>
        <v>0</v>
      </c>
      <c r="N227" s="55">
        <f ca="1">$K$227-EFEITO!$M$227*EFEITO!$Z$227</f>
        <v>0</v>
      </c>
      <c r="O227" s="55">
        <f>$L$227-EFEITO!$O$227*EFEITO!$AA$227</f>
        <v>0</v>
      </c>
      <c r="P227" s="39"/>
      <c r="Q227" s="39"/>
      <c r="R227" s="39"/>
      <c r="S227" s="39"/>
      <c r="T227" s="39"/>
      <c r="U227" s="39"/>
      <c r="V227" s="39"/>
      <c r="W227" s="39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35" t="s">
        <v>21</v>
      </c>
      <c r="B228" s="35" t="s">
        <v>22</v>
      </c>
      <c r="C228" s="35" t="s">
        <v>23</v>
      </c>
      <c r="D228" s="35" t="s">
        <v>24</v>
      </c>
      <c r="E228" s="35" t="s">
        <v>32</v>
      </c>
      <c r="F228" s="35" t="s">
        <v>25</v>
      </c>
      <c r="G228" s="35" t="s">
        <v>25</v>
      </c>
      <c r="H228" s="35" t="s">
        <v>25</v>
      </c>
      <c r="I228" s="54">
        <v>44531</v>
      </c>
      <c r="J228" s="55">
        <f>EFEITO!$J$228*EFEITO!$Y$134</f>
        <v>0</v>
      </c>
      <c r="K228" s="55">
        <f ca="1">EFEITO!$L$228*EFEITO!$Z$224</f>
        <v>1034.8847299638164</v>
      </c>
      <c r="L228" s="55">
        <f>EFEITO!$N$228*EFEITO!$AA$224</f>
        <v>417.90932638568864</v>
      </c>
      <c r="M228" s="55">
        <f>$J$228-EFEITO!$K$228*EFEITO!$Y$228</f>
        <v>0</v>
      </c>
      <c r="N228" s="55">
        <f ca="1">$K$228-EFEITO!$M$228*EFEITO!$Z$228</f>
        <v>0</v>
      </c>
      <c r="O228" s="55">
        <f>$L$228-EFEITO!$O$228*EFEITO!$AA$228</f>
        <v>0</v>
      </c>
      <c r="P228" s="39"/>
      <c r="Q228" s="39"/>
      <c r="R228" s="39"/>
      <c r="S228" s="39"/>
      <c r="T228" s="39"/>
      <c r="U228" s="39"/>
      <c r="V228" s="39"/>
      <c r="W228" s="39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35" t="s">
        <v>21</v>
      </c>
      <c r="B229" s="35" t="s">
        <v>22</v>
      </c>
      <c r="C229" s="35" t="s">
        <v>23</v>
      </c>
      <c r="D229" s="35" t="s">
        <v>24</v>
      </c>
      <c r="E229" s="35" t="s">
        <v>32</v>
      </c>
      <c r="F229" s="35" t="s">
        <v>25</v>
      </c>
      <c r="G229" s="35" t="s">
        <v>25</v>
      </c>
      <c r="H229" s="35" t="s">
        <v>25</v>
      </c>
      <c r="I229" s="54">
        <v>44562</v>
      </c>
      <c r="J229" s="55">
        <f>EFEITO!$J$229*EFEITO!$Y$134</f>
        <v>0</v>
      </c>
      <c r="K229" s="55">
        <f ca="1">EFEITO!$L$229*EFEITO!$Z$224</f>
        <v>2168.8805274421243</v>
      </c>
      <c r="L229" s="55">
        <f>EFEITO!$N$229*EFEITO!$AA$224</f>
        <v>875.84189232946403</v>
      </c>
      <c r="M229" s="55">
        <f>$J$229-EFEITO!$K$229*EFEITO!$Y$229</f>
        <v>0</v>
      </c>
      <c r="N229" s="55">
        <f ca="1">$K$229-EFEITO!$M$229*EFEITO!$Z$229</f>
        <v>0</v>
      </c>
      <c r="O229" s="55">
        <f>$L$229-EFEITO!$O$229*EFEITO!$AA$229</f>
        <v>0</v>
      </c>
      <c r="P229" s="39"/>
      <c r="Q229" s="39"/>
      <c r="R229" s="39"/>
      <c r="S229" s="39"/>
      <c r="T229" s="39"/>
      <c r="U229" s="39"/>
      <c r="V229" s="39"/>
      <c r="W229" s="39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35" t="s">
        <v>21</v>
      </c>
      <c r="B230" s="35" t="s">
        <v>22</v>
      </c>
      <c r="C230" s="35" t="s">
        <v>23</v>
      </c>
      <c r="D230" s="35" t="s">
        <v>24</v>
      </c>
      <c r="E230" s="35" t="s">
        <v>32</v>
      </c>
      <c r="F230" s="35" t="s">
        <v>25</v>
      </c>
      <c r="G230" s="35" t="s">
        <v>25</v>
      </c>
      <c r="H230" s="35" t="s">
        <v>25</v>
      </c>
      <c r="I230" s="54">
        <v>44593</v>
      </c>
      <c r="J230" s="55">
        <f>EFEITO!$J$230*EFEITO!$Y$134</f>
        <v>0</v>
      </c>
      <c r="K230" s="55">
        <f ca="1">EFEITO!$L$230*EFEITO!$Z$224</f>
        <v>3196.7448901236644</v>
      </c>
      <c r="L230" s="55">
        <f>EFEITO!$N$230*EFEITO!$AA$224</f>
        <v>1290.9162392464548</v>
      </c>
      <c r="M230" s="55">
        <f>$J$230-EFEITO!$K$230*EFEITO!$Y$230</f>
        <v>0</v>
      </c>
      <c r="N230" s="55">
        <f ca="1">$K$230-EFEITO!$M$230*EFEITO!$Z$230</f>
        <v>0</v>
      </c>
      <c r="O230" s="55">
        <f>$L$230-EFEITO!$O$230*EFEITO!$AA$230</f>
        <v>0</v>
      </c>
      <c r="P230" s="39"/>
      <c r="Q230" s="39"/>
      <c r="R230" s="39"/>
      <c r="S230" s="39"/>
      <c r="T230" s="39"/>
      <c r="U230" s="39"/>
      <c r="V230" s="39"/>
      <c r="W230" s="39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35" t="s">
        <v>21</v>
      </c>
      <c r="B231" s="35" t="s">
        <v>22</v>
      </c>
      <c r="C231" s="35" t="s">
        <v>23</v>
      </c>
      <c r="D231" s="35" t="s">
        <v>24</v>
      </c>
      <c r="E231" s="35" t="s">
        <v>32</v>
      </c>
      <c r="F231" s="35" t="s">
        <v>25</v>
      </c>
      <c r="G231" s="35" t="s">
        <v>25</v>
      </c>
      <c r="H231" s="35" t="s">
        <v>25</v>
      </c>
      <c r="I231" s="54">
        <v>44621</v>
      </c>
      <c r="J231" s="55">
        <f>EFEITO!$J$231*EFEITO!$Y$134</f>
        <v>0</v>
      </c>
      <c r="K231" s="55">
        <f ca="1">EFEITO!$L$231*EFEITO!$Z$224</f>
        <v>3407.76887137327</v>
      </c>
      <c r="L231" s="55">
        <f>EFEITO!$N$231*EFEITO!$AA$224</f>
        <v>1376.1323868055479</v>
      </c>
      <c r="M231" s="55">
        <f>$J$231-EFEITO!$K$231*EFEITO!$Y$231</f>
        <v>0</v>
      </c>
      <c r="N231" s="55">
        <f ca="1">$K$231-EFEITO!$M$231*EFEITO!$Z$231</f>
        <v>0</v>
      </c>
      <c r="O231" s="55">
        <f>$L$231-EFEITO!$O$231*EFEITO!$AA$231</f>
        <v>0</v>
      </c>
      <c r="P231" s="39"/>
      <c r="Q231" s="39"/>
      <c r="R231" s="39"/>
      <c r="S231" s="39"/>
      <c r="T231" s="39"/>
      <c r="U231" s="39"/>
      <c r="V231" s="39"/>
      <c r="W231" s="39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35" t="s">
        <v>21</v>
      </c>
      <c r="B232" s="35" t="s">
        <v>22</v>
      </c>
      <c r="C232" s="35" t="s">
        <v>23</v>
      </c>
      <c r="D232" s="35" t="s">
        <v>24</v>
      </c>
      <c r="E232" s="35" t="s">
        <v>32</v>
      </c>
      <c r="F232" s="35" t="s">
        <v>25</v>
      </c>
      <c r="G232" s="35" t="s">
        <v>25</v>
      </c>
      <c r="H232" s="35" t="s">
        <v>25</v>
      </c>
      <c r="I232" s="54">
        <v>44652</v>
      </c>
      <c r="J232" s="55">
        <f>EFEITO!$J$232*EFEITO!$Y$134</f>
        <v>0</v>
      </c>
      <c r="K232" s="55">
        <f ca="1">EFEITO!$L$232*EFEITO!$Z$224</f>
        <v>4823.8182484865683</v>
      </c>
      <c r="L232" s="55">
        <f>EFEITO!$N$232*EFEITO!$AA$224</f>
        <v>1947.9644219917116</v>
      </c>
      <c r="M232" s="55">
        <f>$J$232-EFEITO!$K$232*EFEITO!$Y$232</f>
        <v>0</v>
      </c>
      <c r="N232" s="55">
        <f ca="1">$K$232-EFEITO!$M$232*EFEITO!$Z$232</f>
        <v>0</v>
      </c>
      <c r="O232" s="55">
        <f>$L$232-EFEITO!$O$232*EFEITO!$AA$232</f>
        <v>0</v>
      </c>
      <c r="P232" s="39"/>
      <c r="Q232" s="39"/>
      <c r="R232" s="39"/>
      <c r="S232" s="39"/>
      <c r="T232" s="39"/>
      <c r="U232" s="39"/>
      <c r="V232" s="39"/>
      <c r="W232" s="39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35" t="s">
        <v>21</v>
      </c>
      <c r="B233" s="35" t="s">
        <v>22</v>
      </c>
      <c r="C233" s="35" t="s">
        <v>23</v>
      </c>
      <c r="D233" s="35" t="s">
        <v>24</v>
      </c>
      <c r="E233" s="35" t="s">
        <v>32</v>
      </c>
      <c r="F233" s="35" t="s">
        <v>25</v>
      </c>
      <c r="G233" s="35" t="s">
        <v>25</v>
      </c>
      <c r="H233" s="35" t="s">
        <v>25</v>
      </c>
      <c r="I233" s="54">
        <v>44682</v>
      </c>
      <c r="J233" s="55">
        <f>EFEITO!$J$233*EFEITO!$Y$134</f>
        <v>0</v>
      </c>
      <c r="K233" s="55">
        <f ca="1">EFEITO!$L$233*EFEITO!$Z$224</f>
        <v>3109.6097432671741</v>
      </c>
      <c r="L233" s="55">
        <f>EFEITO!$N$233*EFEITO!$AA$224</f>
        <v>1255.7291411349704</v>
      </c>
      <c r="M233" s="55">
        <f>$J$233-EFEITO!$K$233*EFEITO!$Y$233</f>
        <v>0</v>
      </c>
      <c r="N233" s="55">
        <f ca="1">$K$233-EFEITO!$M$233*EFEITO!$Z$233</f>
        <v>0</v>
      </c>
      <c r="O233" s="55">
        <f>$L$233-EFEITO!$O$233*EFEITO!$AA$233</f>
        <v>0</v>
      </c>
      <c r="P233" s="39"/>
      <c r="Q233" s="39"/>
      <c r="R233" s="39"/>
      <c r="S233" s="39"/>
      <c r="T233" s="39"/>
      <c r="U233" s="39"/>
      <c r="V233" s="39"/>
      <c r="W233" s="39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35" t="s">
        <v>21</v>
      </c>
      <c r="B234" s="35" t="s">
        <v>22</v>
      </c>
      <c r="C234" s="35" t="s">
        <v>23</v>
      </c>
      <c r="D234" s="35" t="s">
        <v>24</v>
      </c>
      <c r="E234" s="35" t="s">
        <v>32</v>
      </c>
      <c r="F234" s="35" t="s">
        <v>25</v>
      </c>
      <c r="G234" s="35" t="s">
        <v>25</v>
      </c>
      <c r="H234" s="35" t="s">
        <v>25</v>
      </c>
      <c r="I234" s="54">
        <v>44713</v>
      </c>
      <c r="J234" s="55">
        <f>EFEITO!$J$234*EFEITO!$Y$134</f>
        <v>0</v>
      </c>
      <c r="K234" s="55">
        <f ca="1">EFEITO!$L$234*EFEITO!$Z$224</f>
        <v>3641.9187683762561</v>
      </c>
      <c r="L234" s="55">
        <f>EFEITO!$N$234*EFEITO!$AA$224</f>
        <v>1470.6872902615278</v>
      </c>
      <c r="M234" s="55">
        <f>$J$234-EFEITO!$K$234*EFEITO!$Y$234</f>
        <v>0</v>
      </c>
      <c r="N234" s="55">
        <f ca="1">$K$234-EFEITO!$M$234*EFEITO!$Z$234</f>
        <v>0</v>
      </c>
      <c r="O234" s="55">
        <f>$L$234-EFEITO!$O$234*EFEITO!$AA$234</f>
        <v>0</v>
      </c>
      <c r="P234" s="39"/>
      <c r="Q234" s="39"/>
      <c r="R234" s="39"/>
      <c r="S234" s="39"/>
      <c r="T234" s="39"/>
      <c r="U234" s="39"/>
      <c r="V234" s="39"/>
      <c r="W234" s="39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35" t="s">
        <v>21</v>
      </c>
      <c r="B235" s="35" t="s">
        <v>22</v>
      </c>
      <c r="C235" s="35" t="s">
        <v>23</v>
      </c>
      <c r="D235" s="35" t="s">
        <v>24</v>
      </c>
      <c r="E235" s="35" t="s">
        <v>32</v>
      </c>
      <c r="F235" s="35" t="s">
        <v>25</v>
      </c>
      <c r="G235" s="35" t="s">
        <v>25</v>
      </c>
      <c r="H235" s="35" t="s">
        <v>25</v>
      </c>
      <c r="I235" s="54">
        <v>44743</v>
      </c>
      <c r="J235" s="55">
        <f>EFEITO!$J$235*EFEITO!$Y$134</f>
        <v>0</v>
      </c>
      <c r="K235" s="55">
        <f ca="1">EFEITO!$L$235*EFEITO!$Z$224</f>
        <v>2084.2231572734963</v>
      </c>
      <c r="L235" s="55">
        <f>EFEITO!$N$235*EFEITO!$AA$224</f>
        <v>841.65537520693158</v>
      </c>
      <c r="M235" s="55">
        <f>$J$235-EFEITO!$K$235*EFEITO!$Y$235</f>
        <v>0</v>
      </c>
      <c r="N235" s="55">
        <f ca="1">$K$235-EFEITO!$M$235*EFEITO!$Z$235</f>
        <v>0</v>
      </c>
      <c r="O235" s="55">
        <f>$L$235-EFEITO!$O$235*EFEITO!$AA$235</f>
        <v>0</v>
      </c>
      <c r="P235" s="39"/>
      <c r="Q235" s="39"/>
      <c r="R235" s="39"/>
      <c r="S235" s="39"/>
      <c r="T235" s="39"/>
      <c r="U235" s="39"/>
      <c r="V235" s="39"/>
      <c r="W235" s="39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35" t="s">
        <v>21</v>
      </c>
      <c r="B236" s="35" t="s">
        <v>22</v>
      </c>
      <c r="C236" s="35" t="s">
        <v>23</v>
      </c>
      <c r="D236" s="35" t="s">
        <v>24</v>
      </c>
      <c r="E236" s="35" t="s">
        <v>32</v>
      </c>
      <c r="F236" s="35" t="s">
        <v>25</v>
      </c>
      <c r="G236" s="35" t="s">
        <v>25</v>
      </c>
      <c r="H236" s="35" t="s">
        <v>25</v>
      </c>
      <c r="I236" s="54">
        <v>44774</v>
      </c>
      <c r="J236" s="55">
        <f>EFEITO!$J$236*EFEITO!$Y$134</f>
        <v>0</v>
      </c>
      <c r="K236" s="55">
        <f ca="1">EFEITO!$L$236*EFEITO!$Z$224</f>
        <v>2687.1488179866533</v>
      </c>
      <c r="L236" s="55">
        <f>EFEITO!$N$236*EFEITO!$AA$224</f>
        <v>1085.1300825186256</v>
      </c>
      <c r="M236" s="55">
        <f>$J$236-EFEITO!$K$236*EFEITO!$Y$236</f>
        <v>0</v>
      </c>
      <c r="N236" s="55">
        <f ca="1">$K$236-EFEITO!$M$236*EFEITO!$Z$236</f>
        <v>0</v>
      </c>
      <c r="O236" s="55">
        <f>$L$236-EFEITO!$O$236*EFEITO!$AA$236</f>
        <v>0</v>
      </c>
      <c r="P236" s="39"/>
      <c r="Q236" s="39"/>
      <c r="R236" s="39"/>
      <c r="S236" s="39"/>
      <c r="T236" s="39"/>
      <c r="U236" s="39"/>
      <c r="V236" s="39"/>
      <c r="W236" s="39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35" t="s">
        <v>21</v>
      </c>
      <c r="B237" s="35" t="s">
        <v>43</v>
      </c>
      <c r="C237" s="35" t="s">
        <v>23</v>
      </c>
      <c r="D237" s="35" t="s">
        <v>44</v>
      </c>
      <c r="E237" s="35" t="s">
        <v>25</v>
      </c>
      <c r="F237" s="35" t="s">
        <v>25</v>
      </c>
      <c r="G237" s="35" t="s">
        <v>25</v>
      </c>
      <c r="H237" s="35" t="s">
        <v>25</v>
      </c>
      <c r="I237" s="54">
        <v>44440</v>
      </c>
      <c r="J237" s="55">
        <f>EFEITO!$J$237*EFEITO!$Y$134</f>
        <v>0</v>
      </c>
      <c r="K237" s="55">
        <f ca="1">EFEITO!$L$237*EFEITO!$Z$134</f>
        <v>735241.10505717457</v>
      </c>
      <c r="L237" s="55">
        <f>EFEITO!$N$237*EFEITO!$AA$134</f>
        <v>236126.94081932388</v>
      </c>
      <c r="M237" s="55">
        <f>$J$237-EFEITO!$K$237*EFEITO!$Y$237</f>
        <v>0</v>
      </c>
      <c r="N237" s="55">
        <f ca="1">$K$237-EFEITO!$M$237*EFEITO!$Z$237</f>
        <v>44114.466303430498</v>
      </c>
      <c r="O237" s="55">
        <f>$L$237-EFEITO!$O$237*EFEITO!$AA$237</f>
        <v>14167.616449159425</v>
      </c>
      <c r="P237" s="39"/>
      <c r="Q237" s="39"/>
      <c r="R237" s="39"/>
      <c r="S237" s="39"/>
      <c r="T237" s="39"/>
      <c r="U237" s="39"/>
      <c r="V237" s="39"/>
      <c r="W237" s="39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35" t="s">
        <v>27</v>
      </c>
      <c r="B238" s="35" t="s">
        <v>43</v>
      </c>
      <c r="C238" s="35" t="s">
        <v>23</v>
      </c>
      <c r="D238" s="35" t="s">
        <v>44</v>
      </c>
      <c r="E238" s="35" t="s">
        <v>25</v>
      </c>
      <c r="F238" s="35" t="s">
        <v>25</v>
      </c>
      <c r="G238" s="35" t="s">
        <v>25</v>
      </c>
      <c r="H238" s="35" t="s">
        <v>25</v>
      </c>
      <c r="I238" s="54">
        <v>44440</v>
      </c>
      <c r="J238" s="55">
        <f>EFEITO!$J$238*EFEITO!$Y$134</f>
        <v>0</v>
      </c>
      <c r="K238" s="55">
        <f ca="1">EFEITO!$L$238*EFEITO!$Z$134</f>
        <v>364.00156690724623</v>
      </c>
      <c r="L238" s="55">
        <f>EFEITO!$N$238*EFEITO!$AA$134</f>
        <v>116.9012122092449</v>
      </c>
      <c r="M238" s="55">
        <f>$J$238-EFEITO!$K$238*EFEITO!$Y$238</f>
        <v>0</v>
      </c>
      <c r="N238" s="55">
        <f ca="1">$K$238-EFEITO!$M$238*EFEITO!$Z$238</f>
        <v>21.840094014434783</v>
      </c>
      <c r="O238" s="55">
        <f>$L$238-EFEITO!$O$238*EFEITO!$AA$238</f>
        <v>7.0140727325546948</v>
      </c>
      <c r="P238" s="39"/>
      <c r="Q238" s="39"/>
      <c r="R238" s="39"/>
      <c r="S238" s="39"/>
      <c r="T238" s="39"/>
      <c r="U238" s="39"/>
      <c r="V238" s="39"/>
      <c r="W238" s="39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35" t="s">
        <v>28</v>
      </c>
      <c r="B239" s="35" t="s">
        <v>43</v>
      </c>
      <c r="C239" s="35" t="s">
        <v>23</v>
      </c>
      <c r="D239" s="35" t="s">
        <v>44</v>
      </c>
      <c r="E239" s="35" t="s">
        <v>25</v>
      </c>
      <c r="F239" s="35" t="s">
        <v>25</v>
      </c>
      <c r="G239" s="35" t="s">
        <v>25</v>
      </c>
      <c r="H239" s="35" t="s">
        <v>25</v>
      </c>
      <c r="I239" s="54">
        <v>44440</v>
      </c>
      <c r="J239" s="55">
        <f>EFEITO!$J$239*EFEITO!$Y$134</f>
        <v>0</v>
      </c>
      <c r="K239" s="55">
        <f ca="1">EFEITO!$L$239*EFEITO!$Z$134</f>
        <v>8777.0591803611733</v>
      </c>
      <c r="L239" s="55">
        <f>EFEITO!$N$239*EFEITO!$AA$134</f>
        <v>2818.8034093764145</v>
      </c>
      <c r="M239" s="55">
        <f>$J$239-EFEITO!$K$239*EFEITO!$Y$239</f>
        <v>0</v>
      </c>
      <c r="N239" s="55">
        <f ca="1">$K$239-EFEITO!$M$239*EFEITO!$Z$239</f>
        <v>526.62355082167051</v>
      </c>
      <c r="O239" s="55">
        <f>$L$239-EFEITO!$O$239*EFEITO!$AA$239</f>
        <v>169.12820456258487</v>
      </c>
      <c r="P239" s="39"/>
      <c r="Q239" s="39"/>
      <c r="R239" s="39"/>
      <c r="S239" s="39"/>
      <c r="T239" s="39"/>
      <c r="U239" s="39"/>
      <c r="V239" s="39"/>
      <c r="W239" s="39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35" t="s">
        <v>28</v>
      </c>
      <c r="B240" s="35" t="s">
        <v>43</v>
      </c>
      <c r="C240" s="35" t="s">
        <v>23</v>
      </c>
      <c r="D240" s="35" t="s">
        <v>44</v>
      </c>
      <c r="E240" s="35" t="s">
        <v>25</v>
      </c>
      <c r="F240" s="35" t="s">
        <v>25</v>
      </c>
      <c r="G240" s="35" t="s">
        <v>25</v>
      </c>
      <c r="H240" s="35" t="s">
        <v>25</v>
      </c>
      <c r="I240" s="54">
        <v>44440</v>
      </c>
      <c r="J240" s="55">
        <f>EFEITO!$J$240*EFEITO!$Y$134</f>
        <v>0</v>
      </c>
      <c r="K240" s="55">
        <f ca="1">EFEITO!$L$240*EFEITO!$Z$134</f>
        <v>-39.46379327382413</v>
      </c>
      <c r="L240" s="55">
        <f>EFEITO!$N$240*EFEITO!$AA$134</f>
        <v>-12.674025860060789</v>
      </c>
      <c r="M240" s="55">
        <f>$J$240-EFEITO!$K$240*EFEITO!$Y$240</f>
        <v>0</v>
      </c>
      <c r="N240" s="55">
        <f ca="1">$K$240-EFEITO!$M$240*EFEITO!$Z$240</f>
        <v>-2.36782759642945</v>
      </c>
      <c r="O240" s="55">
        <f>$L$240-EFEITO!$O$240*EFEITO!$AA$240</f>
        <v>-0.76044155160364824</v>
      </c>
      <c r="P240" s="39"/>
      <c r="Q240" s="39"/>
      <c r="R240" s="39"/>
      <c r="S240" s="39"/>
      <c r="T240" s="39"/>
      <c r="U240" s="39"/>
      <c r="V240" s="39"/>
      <c r="W240" s="39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35" t="s">
        <v>21</v>
      </c>
      <c r="B241" s="35" t="s">
        <v>43</v>
      </c>
      <c r="C241" s="35" t="s">
        <v>23</v>
      </c>
      <c r="D241" s="35" t="s">
        <v>44</v>
      </c>
      <c r="E241" s="35" t="s">
        <v>25</v>
      </c>
      <c r="F241" s="35" t="s">
        <v>25</v>
      </c>
      <c r="G241" s="35" t="s">
        <v>25</v>
      </c>
      <c r="H241" s="35" t="s">
        <v>25</v>
      </c>
      <c r="I241" s="54">
        <v>44470</v>
      </c>
      <c r="J241" s="55">
        <f>EFEITO!$J$241*EFEITO!$Y$134</f>
        <v>0</v>
      </c>
      <c r="K241" s="55">
        <f ca="1">EFEITO!$L$241*EFEITO!$Z$134</f>
        <v>768373.03655230114</v>
      </c>
      <c r="L241" s="55">
        <f>EFEITO!$N$241*EFEITO!$AA$134</f>
        <v>246767.45258283752</v>
      </c>
      <c r="M241" s="55">
        <f>$J$241-EFEITO!$K$241*EFEITO!$Y$241</f>
        <v>0</v>
      </c>
      <c r="N241" s="55">
        <f ca="1">$K$241-EFEITO!$M$241*EFEITO!$Z$241</f>
        <v>46102.382193138124</v>
      </c>
      <c r="O241" s="55">
        <f>$L$241-EFEITO!$O$241*EFEITO!$AA$241</f>
        <v>14806.047154970263</v>
      </c>
      <c r="P241" s="39"/>
      <c r="Q241" s="39"/>
      <c r="R241" s="39"/>
      <c r="S241" s="39"/>
      <c r="T241" s="39"/>
      <c r="U241" s="39"/>
      <c r="V241" s="39"/>
      <c r="W241" s="39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35" t="s">
        <v>27</v>
      </c>
      <c r="B242" s="35" t="s">
        <v>43</v>
      </c>
      <c r="C242" s="35" t="s">
        <v>23</v>
      </c>
      <c r="D242" s="35" t="s">
        <v>44</v>
      </c>
      <c r="E242" s="35" t="s">
        <v>25</v>
      </c>
      <c r="F242" s="35" t="s">
        <v>25</v>
      </c>
      <c r="G242" s="35" t="s">
        <v>25</v>
      </c>
      <c r="H242" s="35" t="s">
        <v>25</v>
      </c>
      <c r="I242" s="54">
        <v>44470</v>
      </c>
      <c r="J242" s="55">
        <f>EFEITO!$J$242*EFEITO!$Y$134</f>
        <v>0</v>
      </c>
      <c r="K242" s="55">
        <f ca="1">EFEITO!$L$242*EFEITO!$Z$134</f>
        <v>-2453.505568668671</v>
      </c>
      <c r="L242" s="55">
        <f>EFEITO!$N$242*EFEITO!$AA$134</f>
        <v>-787.95752879983195</v>
      </c>
      <c r="M242" s="55">
        <f>$J$242-EFEITO!$K$242*EFEITO!$Y$242</f>
        <v>0</v>
      </c>
      <c r="N242" s="55">
        <f ca="1">$K$242-EFEITO!$M$242*EFEITO!$Z$242</f>
        <v>-147.21033412012048</v>
      </c>
      <c r="O242" s="55">
        <f>$L$242-EFEITO!$O$242*EFEITO!$AA$242</f>
        <v>-47.277451727989956</v>
      </c>
      <c r="P242" s="39"/>
      <c r="Q242" s="39"/>
      <c r="R242" s="39"/>
      <c r="S242" s="39"/>
      <c r="T242" s="39"/>
      <c r="U242" s="39"/>
      <c r="V242" s="39"/>
      <c r="W242" s="39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35" t="s">
        <v>28</v>
      </c>
      <c r="B243" s="35" t="s">
        <v>43</v>
      </c>
      <c r="C243" s="35" t="s">
        <v>23</v>
      </c>
      <c r="D243" s="35" t="s">
        <v>44</v>
      </c>
      <c r="E243" s="35" t="s">
        <v>25</v>
      </c>
      <c r="F243" s="35" t="s">
        <v>25</v>
      </c>
      <c r="G243" s="35" t="s">
        <v>25</v>
      </c>
      <c r="H243" s="35" t="s">
        <v>25</v>
      </c>
      <c r="I243" s="54">
        <v>44470</v>
      </c>
      <c r="J243" s="55">
        <f>EFEITO!$J$243*EFEITO!$Y$134</f>
        <v>0</v>
      </c>
      <c r="K243" s="55">
        <f ca="1">EFEITO!$L$243*EFEITO!$Z$134</f>
        <v>10542.025408489177</v>
      </c>
      <c r="L243" s="55">
        <f>EFEITO!$N$243*EFEITO!$AA$134</f>
        <v>3385.6325396178177</v>
      </c>
      <c r="M243" s="55">
        <f>$J$243-EFEITO!$K$243*EFEITO!$Y$243</f>
        <v>0</v>
      </c>
      <c r="N243" s="55">
        <f ca="1">$K$243-EFEITO!$M$243*EFEITO!$Z$243</f>
        <v>632.52152450934955</v>
      </c>
      <c r="O243" s="55">
        <f>$L$243-EFEITO!$O$243*EFEITO!$AA$243</f>
        <v>203.13795237706927</v>
      </c>
      <c r="P243" s="39"/>
      <c r="Q243" s="39"/>
      <c r="R243" s="39"/>
      <c r="S243" s="39"/>
      <c r="T243" s="39"/>
      <c r="U243" s="39"/>
      <c r="V243" s="39"/>
      <c r="W243" s="39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35" t="s">
        <v>21</v>
      </c>
      <c r="B244" s="35" t="s">
        <v>43</v>
      </c>
      <c r="C244" s="35" t="s">
        <v>23</v>
      </c>
      <c r="D244" s="35" t="s">
        <v>44</v>
      </c>
      <c r="E244" s="35" t="s">
        <v>25</v>
      </c>
      <c r="F244" s="35" t="s">
        <v>25</v>
      </c>
      <c r="G244" s="35" t="s">
        <v>25</v>
      </c>
      <c r="H244" s="35" t="s">
        <v>25</v>
      </c>
      <c r="I244" s="54">
        <v>44501</v>
      </c>
      <c r="J244" s="55">
        <f>EFEITO!$J$244*EFEITO!$Y$134</f>
        <v>0</v>
      </c>
      <c r="K244" s="55">
        <f ca="1">EFEITO!$L$244*EFEITO!$Z$134</f>
        <v>826440.37353166856</v>
      </c>
      <c r="L244" s="55">
        <f>EFEITO!$N$244*EFEITO!$AA$134</f>
        <v>265416.11429142987</v>
      </c>
      <c r="M244" s="55">
        <f>$J$244-EFEITO!$K$244*EFEITO!$Y$244</f>
        <v>0</v>
      </c>
      <c r="N244" s="55">
        <f ca="1">$K$244-EFEITO!$M$244*EFEITO!$Z$244</f>
        <v>49586.42241190013</v>
      </c>
      <c r="O244" s="55">
        <f>$L$244-EFEITO!$O$244*EFEITO!$AA$244</f>
        <v>15924.966857485822</v>
      </c>
      <c r="P244" s="39"/>
      <c r="Q244" s="39"/>
      <c r="R244" s="39"/>
      <c r="S244" s="39"/>
      <c r="T244" s="39"/>
      <c r="U244" s="39"/>
      <c r="V244" s="39"/>
      <c r="W244" s="39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35" t="s">
        <v>27</v>
      </c>
      <c r="B245" s="35" t="s">
        <v>43</v>
      </c>
      <c r="C245" s="35" t="s">
        <v>23</v>
      </c>
      <c r="D245" s="35" t="s">
        <v>44</v>
      </c>
      <c r="E245" s="35" t="s">
        <v>25</v>
      </c>
      <c r="F245" s="35" t="s">
        <v>25</v>
      </c>
      <c r="G245" s="35" t="s">
        <v>25</v>
      </c>
      <c r="H245" s="35" t="s">
        <v>25</v>
      </c>
      <c r="I245" s="54">
        <v>44501</v>
      </c>
      <c r="J245" s="55">
        <f>EFEITO!$J$245*EFEITO!$Y$134</f>
        <v>0</v>
      </c>
      <c r="K245" s="55">
        <f ca="1">EFEITO!$L$245*EFEITO!$Z$134</f>
        <v>-2557.87691666918</v>
      </c>
      <c r="L245" s="55">
        <f>EFEITO!$N$245*EFEITO!$AA$134</f>
        <v>-821.47699192972959</v>
      </c>
      <c r="M245" s="55">
        <f>$J$245-EFEITO!$K$245*EFEITO!$Y$245</f>
        <v>0</v>
      </c>
      <c r="N245" s="55">
        <f ca="1">$K$245-EFEITO!$M$245*EFEITO!$Z$245</f>
        <v>-153.47261500015111</v>
      </c>
      <c r="O245" s="55">
        <f>$L$245-EFEITO!$O$245*EFEITO!$AA$245</f>
        <v>-49.288619515783807</v>
      </c>
      <c r="P245" s="39"/>
      <c r="Q245" s="39"/>
      <c r="R245" s="39"/>
      <c r="S245" s="39"/>
      <c r="T245" s="39"/>
      <c r="U245" s="39"/>
      <c r="V245" s="39"/>
      <c r="W245" s="39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35" t="s">
        <v>28</v>
      </c>
      <c r="B246" s="35" t="s">
        <v>43</v>
      </c>
      <c r="C246" s="35" t="s">
        <v>23</v>
      </c>
      <c r="D246" s="35" t="s">
        <v>44</v>
      </c>
      <c r="E246" s="35" t="s">
        <v>25</v>
      </c>
      <c r="F246" s="35" t="s">
        <v>25</v>
      </c>
      <c r="G246" s="35" t="s">
        <v>25</v>
      </c>
      <c r="H246" s="35" t="s">
        <v>25</v>
      </c>
      <c r="I246" s="54">
        <v>44501</v>
      </c>
      <c r="J246" s="55">
        <f>EFEITO!$J$246*EFEITO!$Y$134</f>
        <v>0</v>
      </c>
      <c r="K246" s="55">
        <f ca="1">EFEITO!$L$246*EFEITO!$Z$134</f>
        <v>10092.345869342707</v>
      </c>
      <c r="L246" s="55">
        <f>EFEITO!$N$246*EFEITO!$AA$134</f>
        <v>3241.2153502123883</v>
      </c>
      <c r="M246" s="55">
        <f>$J$246-EFEITO!$K$246*EFEITO!$Y$246</f>
        <v>0</v>
      </c>
      <c r="N246" s="55">
        <f ca="1">$K$246-EFEITO!$M$246*EFEITO!$Z$246</f>
        <v>605.54075216056299</v>
      </c>
      <c r="O246" s="55">
        <f>$L$246-EFEITO!$O$246*EFEITO!$AA$246</f>
        <v>194.47292101274343</v>
      </c>
      <c r="P246" s="39"/>
      <c r="Q246" s="39"/>
      <c r="R246" s="39"/>
      <c r="S246" s="39"/>
      <c r="T246" s="39"/>
      <c r="U246" s="39"/>
      <c r="V246" s="39"/>
      <c r="W246" s="39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35" t="s">
        <v>28</v>
      </c>
      <c r="B247" s="35" t="s">
        <v>43</v>
      </c>
      <c r="C247" s="35" t="s">
        <v>23</v>
      </c>
      <c r="D247" s="35" t="s">
        <v>44</v>
      </c>
      <c r="E247" s="35" t="s">
        <v>25</v>
      </c>
      <c r="F247" s="35" t="s">
        <v>25</v>
      </c>
      <c r="G247" s="35" t="s">
        <v>25</v>
      </c>
      <c r="H247" s="35" t="s">
        <v>25</v>
      </c>
      <c r="I247" s="54">
        <v>44501</v>
      </c>
      <c r="J247" s="55">
        <f>EFEITO!$J$247*EFEITO!$Y$134</f>
        <v>0</v>
      </c>
      <c r="K247" s="55">
        <f ca="1">EFEITO!$L$247*EFEITO!$Z$134</f>
        <v>-533.28046963443921</v>
      </c>
      <c r="L247" s="55">
        <f>EFEITO!$N$247*EFEITO!$AA$134</f>
        <v>-171.26611260897934</v>
      </c>
      <c r="M247" s="55">
        <f>$J$247-EFEITO!$K$247*EFEITO!$Y$247</f>
        <v>0</v>
      </c>
      <c r="N247" s="55">
        <f ca="1">$K$247-EFEITO!$M$247*EFEITO!$Z$247</f>
        <v>-31.99682817806638</v>
      </c>
      <c r="O247" s="55">
        <f>$L$247-EFEITO!$O$247*EFEITO!$AA$247</f>
        <v>-10.275966756538764</v>
      </c>
      <c r="P247" s="39"/>
      <c r="Q247" s="39"/>
      <c r="R247" s="39"/>
      <c r="S247" s="39"/>
      <c r="T247" s="39"/>
      <c r="U247" s="39"/>
      <c r="V247" s="39"/>
      <c r="W247" s="39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35" t="s">
        <v>21</v>
      </c>
      <c r="B248" s="35" t="s">
        <v>43</v>
      </c>
      <c r="C248" s="35" t="s">
        <v>23</v>
      </c>
      <c r="D248" s="35" t="s">
        <v>44</v>
      </c>
      <c r="E248" s="35" t="s">
        <v>25</v>
      </c>
      <c r="F248" s="35" t="s">
        <v>25</v>
      </c>
      <c r="G248" s="35" t="s">
        <v>25</v>
      </c>
      <c r="H248" s="35" t="s">
        <v>25</v>
      </c>
      <c r="I248" s="54">
        <v>44531</v>
      </c>
      <c r="J248" s="55">
        <f>EFEITO!$J$248*EFEITO!$Y$134</f>
        <v>0</v>
      </c>
      <c r="K248" s="55">
        <f ca="1">EFEITO!$L$248*EFEITO!$Z$134</f>
        <v>907255.9910312068</v>
      </c>
      <c r="L248" s="55">
        <f>EFEITO!$N$248*EFEITO!$AA$134</f>
        <v>291370.51809085649</v>
      </c>
      <c r="M248" s="55">
        <f>$J$248-EFEITO!$K$248*EFEITO!$Y$248</f>
        <v>0</v>
      </c>
      <c r="N248" s="55">
        <f ca="1">$K$248-EFEITO!$M$248*EFEITO!$Z$248</f>
        <v>54435.359461872489</v>
      </c>
      <c r="O248" s="55">
        <f>$L$248-EFEITO!$O$248*EFEITO!$AA$248</f>
        <v>17482.231085451436</v>
      </c>
      <c r="P248" s="39"/>
      <c r="Q248" s="39"/>
      <c r="R248" s="39"/>
      <c r="S248" s="39"/>
      <c r="T248" s="39"/>
      <c r="U248" s="39"/>
      <c r="V248" s="39"/>
      <c r="W248" s="39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35" t="s">
        <v>27</v>
      </c>
      <c r="B249" s="35" t="s">
        <v>43</v>
      </c>
      <c r="C249" s="35" t="s">
        <v>23</v>
      </c>
      <c r="D249" s="35" t="s">
        <v>44</v>
      </c>
      <c r="E249" s="35" t="s">
        <v>25</v>
      </c>
      <c r="F249" s="35" t="s">
        <v>25</v>
      </c>
      <c r="G249" s="35" t="s">
        <v>25</v>
      </c>
      <c r="H249" s="35" t="s">
        <v>25</v>
      </c>
      <c r="I249" s="54">
        <v>44531</v>
      </c>
      <c r="J249" s="55">
        <f>EFEITO!$J$249*EFEITO!$Y$134</f>
        <v>0</v>
      </c>
      <c r="K249" s="55">
        <f ca="1">EFEITO!$L$249*EFEITO!$Z$134</f>
        <v>425.27429856923629</v>
      </c>
      <c r="L249" s="55">
        <f>EFEITO!$N$249*EFEITO!$AA$134</f>
        <v>136.57930499197087</v>
      </c>
      <c r="M249" s="55">
        <f>$J$249-EFEITO!$K$249*EFEITO!$Y$249</f>
        <v>0</v>
      </c>
      <c r="N249" s="55">
        <f ca="1">$K$249-EFEITO!$M$249*EFEITO!$Z$249</f>
        <v>25.516457914154159</v>
      </c>
      <c r="O249" s="55">
        <f>$L$249-EFEITO!$O$249*EFEITO!$AA$249</f>
        <v>8.19475829951827</v>
      </c>
      <c r="P249" s="39"/>
      <c r="Q249" s="39"/>
      <c r="R249" s="39"/>
      <c r="S249" s="39"/>
      <c r="T249" s="39"/>
      <c r="U249" s="39"/>
      <c r="V249" s="39"/>
      <c r="W249" s="39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35" t="s">
        <v>28</v>
      </c>
      <c r="B250" s="35" t="s">
        <v>43</v>
      </c>
      <c r="C250" s="35" t="s">
        <v>23</v>
      </c>
      <c r="D250" s="35" t="s">
        <v>44</v>
      </c>
      <c r="E250" s="35" t="s">
        <v>25</v>
      </c>
      <c r="F250" s="35" t="s">
        <v>25</v>
      </c>
      <c r="G250" s="35" t="s">
        <v>25</v>
      </c>
      <c r="H250" s="35" t="s">
        <v>25</v>
      </c>
      <c r="I250" s="54">
        <v>44531</v>
      </c>
      <c r="J250" s="55">
        <f>EFEITO!$J$250*EFEITO!$Y$134</f>
        <v>0</v>
      </c>
      <c r="K250" s="55">
        <f ca="1">EFEITO!$L$250*EFEITO!$Z$134</f>
        <v>10692.610935455084</v>
      </c>
      <c r="L250" s="55">
        <f>EFEITO!$N$250*EFEITO!$AA$134</f>
        <v>3433.9939540838391</v>
      </c>
      <c r="M250" s="55">
        <f>$J$250-EFEITO!$K$250*EFEITO!$Y$250</f>
        <v>0</v>
      </c>
      <c r="N250" s="55">
        <f ca="1">$K$250-EFEITO!$M$250*EFEITO!$Z$250</f>
        <v>641.55665612730445</v>
      </c>
      <c r="O250" s="55">
        <f>$L$250-EFEITO!$O$250*EFEITO!$AA$250</f>
        <v>206.03963724503046</v>
      </c>
      <c r="P250" s="39"/>
      <c r="Q250" s="39"/>
      <c r="R250" s="39"/>
      <c r="S250" s="39"/>
      <c r="T250" s="39"/>
      <c r="U250" s="39"/>
      <c r="V250" s="39"/>
      <c r="W250" s="39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35" t="s">
        <v>21</v>
      </c>
      <c r="B251" s="35" t="s">
        <v>43</v>
      </c>
      <c r="C251" s="35" t="s">
        <v>23</v>
      </c>
      <c r="D251" s="35" t="s">
        <v>44</v>
      </c>
      <c r="E251" s="35" t="s">
        <v>25</v>
      </c>
      <c r="F251" s="35" t="s">
        <v>25</v>
      </c>
      <c r="G251" s="35" t="s">
        <v>25</v>
      </c>
      <c r="H251" s="35" t="s">
        <v>25</v>
      </c>
      <c r="I251" s="54">
        <v>44562</v>
      </c>
      <c r="J251" s="55">
        <f>EFEITO!$J$251*EFEITO!$Y$134</f>
        <v>0</v>
      </c>
      <c r="K251" s="55">
        <f ca="1">EFEITO!$L$251*EFEITO!$Z$134</f>
        <v>1165179.9201392892</v>
      </c>
      <c r="L251" s="55">
        <f>EFEITO!$N$251*EFEITO!$AA$134</f>
        <v>374204.28231525433</v>
      </c>
      <c r="M251" s="55">
        <f>$J$251-EFEITO!$K$251*EFEITO!$Y$251</f>
        <v>0</v>
      </c>
      <c r="N251" s="55">
        <f ca="1">$K$251-EFEITO!$M$251*EFEITO!$Z$251</f>
        <v>69910.795208357275</v>
      </c>
      <c r="O251" s="55">
        <f>$L$251-EFEITO!$O$251*EFEITO!$AA$251</f>
        <v>22452.256938915292</v>
      </c>
      <c r="P251" s="39"/>
      <c r="Q251" s="39"/>
      <c r="R251" s="39"/>
      <c r="S251" s="39"/>
      <c r="T251" s="39"/>
      <c r="U251" s="39"/>
      <c r="V251" s="39"/>
      <c r="W251" s="39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35" t="s">
        <v>27</v>
      </c>
      <c r="B252" s="35" t="s">
        <v>43</v>
      </c>
      <c r="C252" s="35" t="s">
        <v>23</v>
      </c>
      <c r="D252" s="35" t="s">
        <v>44</v>
      </c>
      <c r="E252" s="35" t="s">
        <v>25</v>
      </c>
      <c r="F252" s="35" t="s">
        <v>25</v>
      </c>
      <c r="G252" s="35" t="s">
        <v>25</v>
      </c>
      <c r="H252" s="35" t="s">
        <v>25</v>
      </c>
      <c r="I252" s="54">
        <v>44562</v>
      </c>
      <c r="J252" s="55">
        <f>EFEITO!$J$252*EFEITO!$Y$134</f>
        <v>0</v>
      </c>
      <c r="K252" s="55">
        <f ca="1">EFEITO!$L$252*EFEITO!$Z$134</f>
        <v>-1282.0540209614708</v>
      </c>
      <c r="L252" s="55">
        <f>EFEITO!$N$252*EFEITO!$AA$134</f>
        <v>-411.73907695381695</v>
      </c>
      <c r="M252" s="55">
        <f>$J$252-EFEITO!$K$252*EFEITO!$Y$252</f>
        <v>0</v>
      </c>
      <c r="N252" s="55">
        <f ca="1">$K$252-EFEITO!$M$252*EFEITO!$Z$252</f>
        <v>-76.92324125768846</v>
      </c>
      <c r="O252" s="55">
        <f>$L$252-EFEITO!$O$252*EFEITO!$AA$252</f>
        <v>-24.704344617229026</v>
      </c>
      <c r="P252" s="39"/>
      <c r="Q252" s="39"/>
      <c r="R252" s="39"/>
      <c r="S252" s="39"/>
      <c r="T252" s="39"/>
      <c r="U252" s="39"/>
      <c r="V252" s="39"/>
      <c r="W252" s="39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35" t="s">
        <v>28</v>
      </c>
      <c r="B253" s="35" t="s">
        <v>43</v>
      </c>
      <c r="C253" s="35" t="s">
        <v>23</v>
      </c>
      <c r="D253" s="35" t="s">
        <v>44</v>
      </c>
      <c r="E253" s="35" t="s">
        <v>25</v>
      </c>
      <c r="F253" s="35" t="s">
        <v>25</v>
      </c>
      <c r="G253" s="35" t="s">
        <v>25</v>
      </c>
      <c r="H253" s="35" t="s">
        <v>25</v>
      </c>
      <c r="I253" s="54">
        <v>44562</v>
      </c>
      <c r="J253" s="55">
        <f>EFEITO!$J$253*EFEITO!$Y$134</f>
        <v>0</v>
      </c>
      <c r="K253" s="55">
        <f ca="1">EFEITO!$L$253*EFEITO!$Z$134</f>
        <v>14898.101221306422</v>
      </c>
      <c r="L253" s="55">
        <f>EFEITO!$N$253*EFEITO!$AA$134</f>
        <v>4784.6115256711064</v>
      </c>
      <c r="M253" s="55">
        <f>$J$253-EFEITO!$K$253*EFEITO!$Y$253</f>
        <v>0</v>
      </c>
      <c r="N253" s="55">
        <f ca="1">$K$253-EFEITO!$M$253*EFEITO!$Z$253</f>
        <v>893.88607327838508</v>
      </c>
      <c r="O253" s="55">
        <f>$L$253-EFEITO!$O$253*EFEITO!$AA$253</f>
        <v>287.07669154026644</v>
      </c>
      <c r="P253" s="39"/>
      <c r="Q253" s="39"/>
      <c r="R253" s="39"/>
      <c r="S253" s="39"/>
      <c r="T253" s="39"/>
      <c r="U253" s="39"/>
      <c r="V253" s="39"/>
      <c r="W253" s="39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35" t="s">
        <v>21</v>
      </c>
      <c r="B254" s="35" t="s">
        <v>43</v>
      </c>
      <c r="C254" s="35" t="s">
        <v>23</v>
      </c>
      <c r="D254" s="35" t="s">
        <v>44</v>
      </c>
      <c r="E254" s="35" t="s">
        <v>25</v>
      </c>
      <c r="F254" s="35" t="s">
        <v>25</v>
      </c>
      <c r="G254" s="35" t="s">
        <v>25</v>
      </c>
      <c r="H254" s="35" t="s">
        <v>25</v>
      </c>
      <c r="I254" s="54">
        <v>44593</v>
      </c>
      <c r="J254" s="55">
        <f>EFEITO!$J$254*EFEITO!$Y$134</f>
        <v>0</v>
      </c>
      <c r="K254" s="55">
        <f ca="1">EFEITO!$L$254*EFEITO!$Z$134</f>
        <v>1108396.1949621968</v>
      </c>
      <c r="L254" s="55">
        <f>EFEITO!$N$254*EFEITO!$AA$134</f>
        <v>355967.85997411027</v>
      </c>
      <c r="M254" s="55">
        <f>$J$254-EFEITO!$K$254*EFEITO!$Y$254</f>
        <v>0</v>
      </c>
      <c r="N254" s="55">
        <f ca="1">$K$254-EFEITO!$M$254*EFEITO!$Z$254</f>
        <v>66503.771697731805</v>
      </c>
      <c r="O254" s="55">
        <f>$L$254-EFEITO!$O$254*EFEITO!$AA$254</f>
        <v>21358.071598446637</v>
      </c>
      <c r="P254" s="39"/>
      <c r="Q254" s="39"/>
      <c r="R254" s="39"/>
      <c r="S254" s="39"/>
      <c r="T254" s="39"/>
      <c r="U254" s="39"/>
      <c r="V254" s="39"/>
      <c r="W254" s="39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35" t="s">
        <v>27</v>
      </c>
      <c r="B255" s="35" t="s">
        <v>43</v>
      </c>
      <c r="C255" s="35" t="s">
        <v>23</v>
      </c>
      <c r="D255" s="35" t="s">
        <v>44</v>
      </c>
      <c r="E255" s="35" t="s">
        <v>25</v>
      </c>
      <c r="F255" s="35" t="s">
        <v>25</v>
      </c>
      <c r="G255" s="35" t="s">
        <v>25</v>
      </c>
      <c r="H255" s="35" t="s">
        <v>25</v>
      </c>
      <c r="I255" s="54">
        <v>44593</v>
      </c>
      <c r="J255" s="55">
        <f>EFEITO!$J$255*EFEITO!$Y$134</f>
        <v>0</v>
      </c>
      <c r="K255" s="55">
        <f ca="1">EFEITO!$L$255*EFEITO!$Z$134</f>
        <v>-1136.6610983736978</v>
      </c>
      <c r="L255" s="55">
        <f>EFEITO!$N$255*EFEITO!$AA$134</f>
        <v>-365.04529746938249</v>
      </c>
      <c r="M255" s="55">
        <f>$J$255-EFEITO!$K$255*EFEITO!$Y$255</f>
        <v>0</v>
      </c>
      <c r="N255" s="55">
        <f ca="1">$K$255-EFEITO!$M$255*EFEITO!$Z$255</f>
        <v>-68.199665902421884</v>
      </c>
      <c r="O255" s="55">
        <f>$L$255-EFEITO!$O$255*EFEITO!$AA$255</f>
        <v>-21.902717848162979</v>
      </c>
      <c r="P255" s="39"/>
      <c r="Q255" s="39"/>
      <c r="R255" s="39"/>
      <c r="S255" s="39"/>
      <c r="T255" s="39"/>
      <c r="U255" s="39"/>
      <c r="V255" s="39"/>
      <c r="W255" s="39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35" t="s">
        <v>28</v>
      </c>
      <c r="B256" s="35" t="s">
        <v>43</v>
      </c>
      <c r="C256" s="35" t="s">
        <v>23</v>
      </c>
      <c r="D256" s="35" t="s">
        <v>44</v>
      </c>
      <c r="E256" s="35" t="s">
        <v>25</v>
      </c>
      <c r="F256" s="35" t="s">
        <v>25</v>
      </c>
      <c r="G256" s="35" t="s">
        <v>25</v>
      </c>
      <c r="H256" s="35" t="s">
        <v>25</v>
      </c>
      <c r="I256" s="54">
        <v>44593</v>
      </c>
      <c r="J256" s="55">
        <f>EFEITO!$J$256*EFEITO!$Y$134</f>
        <v>0</v>
      </c>
      <c r="K256" s="55">
        <f ca="1">EFEITO!$L$256*EFEITO!$Z$134</f>
        <v>23484.072560552238</v>
      </c>
      <c r="L256" s="55">
        <f>EFEITO!$N$256*EFEITO!$AA$134</f>
        <v>7542.045967725122</v>
      </c>
      <c r="M256" s="55">
        <f>$J$256-EFEITO!$K$256*EFEITO!$Y$256</f>
        <v>0</v>
      </c>
      <c r="N256" s="55">
        <f ca="1">$K$256-EFEITO!$M$256*EFEITO!$Z$256</f>
        <v>1409.0443536331368</v>
      </c>
      <c r="O256" s="55">
        <f>$L$256-EFEITO!$O$256*EFEITO!$AA$256</f>
        <v>452.52275806350735</v>
      </c>
      <c r="P256" s="39"/>
      <c r="Q256" s="39"/>
      <c r="R256" s="39"/>
      <c r="S256" s="39"/>
      <c r="T256" s="39"/>
      <c r="U256" s="39"/>
      <c r="V256" s="39"/>
      <c r="W256" s="39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35" t="s">
        <v>28</v>
      </c>
      <c r="B257" s="35" t="s">
        <v>43</v>
      </c>
      <c r="C257" s="35" t="s">
        <v>23</v>
      </c>
      <c r="D257" s="35" t="s">
        <v>44</v>
      </c>
      <c r="E257" s="35" t="s">
        <v>25</v>
      </c>
      <c r="F257" s="35" t="s">
        <v>25</v>
      </c>
      <c r="G257" s="35" t="s">
        <v>25</v>
      </c>
      <c r="H257" s="35" t="s">
        <v>25</v>
      </c>
      <c r="I257" s="54">
        <v>44593</v>
      </c>
      <c r="J257" s="55">
        <f>EFEITO!$J$257*EFEITO!$Y$134</f>
        <v>0</v>
      </c>
      <c r="K257" s="55">
        <f ca="1">EFEITO!$L$257*EFEITO!$Z$134</f>
        <v>-1047.8675635075933</v>
      </c>
      <c r="L257" s="55">
        <f>EFEITO!$N$257*EFEITO!$AA$134</f>
        <v>-336.52873928424566</v>
      </c>
      <c r="M257" s="55">
        <f>$J$257-EFEITO!$K$257*EFEITO!$Y$257</f>
        <v>0</v>
      </c>
      <c r="N257" s="55">
        <f ca="1">$K$257-EFEITO!$M$257*EFEITO!$Z$257</f>
        <v>-62.872053810455668</v>
      </c>
      <c r="O257" s="55">
        <f>$L$257-EFEITO!$O$257*EFEITO!$AA$257</f>
        <v>-20.191724357054738</v>
      </c>
      <c r="P257" s="39"/>
      <c r="Q257" s="39"/>
      <c r="R257" s="39"/>
      <c r="S257" s="39"/>
      <c r="T257" s="39"/>
      <c r="U257" s="39"/>
      <c r="V257" s="39"/>
      <c r="W257" s="39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35" t="s">
        <v>21</v>
      </c>
      <c r="B258" s="35" t="s">
        <v>43</v>
      </c>
      <c r="C258" s="35" t="s">
        <v>23</v>
      </c>
      <c r="D258" s="35" t="s">
        <v>44</v>
      </c>
      <c r="E258" s="35" t="s">
        <v>25</v>
      </c>
      <c r="F258" s="35" t="s">
        <v>25</v>
      </c>
      <c r="G258" s="35" t="s">
        <v>25</v>
      </c>
      <c r="H258" s="35" t="s">
        <v>25</v>
      </c>
      <c r="I258" s="54">
        <v>44621</v>
      </c>
      <c r="J258" s="55">
        <f>EFEITO!$J$258*EFEITO!$Y$134</f>
        <v>0</v>
      </c>
      <c r="K258" s="55">
        <f ca="1">EFEITO!$L$258*EFEITO!$Z$134</f>
        <v>884593.38848327543</v>
      </c>
      <c r="L258" s="55">
        <f>EFEITO!$N$258*EFEITO!$AA$134</f>
        <v>284092.29197721841</v>
      </c>
      <c r="M258" s="55">
        <f>$J$258-EFEITO!$K$258*EFEITO!$Y$258</f>
        <v>0</v>
      </c>
      <c r="N258" s="55">
        <f ca="1">$K$258-EFEITO!$M$258*EFEITO!$Z$258</f>
        <v>53075.603308996535</v>
      </c>
      <c r="O258" s="55">
        <f>$L$258-EFEITO!$O$258*EFEITO!$AA$258</f>
        <v>17045.537518633122</v>
      </c>
      <c r="P258" s="39"/>
      <c r="Q258" s="39"/>
      <c r="R258" s="39"/>
      <c r="S258" s="39"/>
      <c r="T258" s="39"/>
      <c r="U258" s="39"/>
      <c r="V258" s="39"/>
      <c r="W258" s="39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35" t="s">
        <v>27</v>
      </c>
      <c r="B259" s="35" t="s">
        <v>43</v>
      </c>
      <c r="C259" s="35" t="s">
        <v>23</v>
      </c>
      <c r="D259" s="35" t="s">
        <v>44</v>
      </c>
      <c r="E259" s="35" t="s">
        <v>25</v>
      </c>
      <c r="F259" s="35" t="s">
        <v>25</v>
      </c>
      <c r="G259" s="35" t="s">
        <v>25</v>
      </c>
      <c r="H259" s="35" t="s">
        <v>25</v>
      </c>
      <c r="I259" s="54">
        <v>44621</v>
      </c>
      <c r="J259" s="55">
        <f>EFEITO!$J$259*EFEITO!$Y$134</f>
        <v>0</v>
      </c>
      <c r="K259" s="55">
        <f ca="1">EFEITO!$L$259*EFEITO!$Z$134</f>
        <v>-7640.3980819874769</v>
      </c>
      <c r="L259" s="55">
        <f>EFEITO!$N$259*EFEITO!$AA$134</f>
        <v>-2453.7581119070323</v>
      </c>
      <c r="M259" s="55">
        <f>$J$259-EFEITO!$K$259*EFEITO!$Y$259</f>
        <v>0</v>
      </c>
      <c r="N259" s="55">
        <f ca="1">$K$259-EFEITO!$M$259*EFEITO!$Z$259</f>
        <v>-458.42388491924885</v>
      </c>
      <c r="O259" s="55">
        <f>$L$259-EFEITO!$O$259*EFEITO!$AA$259</f>
        <v>-147.225486714422</v>
      </c>
      <c r="P259" s="39"/>
      <c r="Q259" s="39"/>
      <c r="R259" s="39"/>
      <c r="S259" s="39"/>
      <c r="T259" s="39"/>
      <c r="U259" s="39"/>
      <c r="V259" s="39"/>
      <c r="W259" s="39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35" t="s">
        <v>28</v>
      </c>
      <c r="B260" s="35" t="s">
        <v>43</v>
      </c>
      <c r="C260" s="35" t="s">
        <v>23</v>
      </c>
      <c r="D260" s="35" t="s">
        <v>44</v>
      </c>
      <c r="E260" s="35" t="s">
        <v>25</v>
      </c>
      <c r="F260" s="35" t="s">
        <v>25</v>
      </c>
      <c r="G260" s="35" t="s">
        <v>25</v>
      </c>
      <c r="H260" s="35" t="s">
        <v>25</v>
      </c>
      <c r="I260" s="54">
        <v>44621</v>
      </c>
      <c r="J260" s="55">
        <f>EFEITO!$J$260*EFEITO!$Y$134</f>
        <v>0</v>
      </c>
      <c r="K260" s="55">
        <f ca="1">EFEITO!$L$260*EFEITO!$Z$134</f>
        <v>15349.338541766332</v>
      </c>
      <c r="L260" s="55">
        <f>EFEITO!$N$260*EFEITO!$AA$134</f>
        <v>4929.529005571012</v>
      </c>
      <c r="M260" s="55">
        <f>$J$260-EFEITO!$K$260*EFEITO!$Y$260</f>
        <v>0</v>
      </c>
      <c r="N260" s="55">
        <f ca="1">$K$260-EFEITO!$M$260*EFEITO!$Z$260</f>
        <v>920.96031250598026</v>
      </c>
      <c r="O260" s="55">
        <f>$L$260-EFEITO!$O$260*EFEITO!$AA$260</f>
        <v>295.77174033426036</v>
      </c>
      <c r="P260" s="39"/>
      <c r="Q260" s="39"/>
      <c r="R260" s="39"/>
      <c r="S260" s="39"/>
      <c r="T260" s="39"/>
      <c r="U260" s="39"/>
      <c r="V260" s="39"/>
      <c r="W260" s="39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35" t="s">
        <v>21</v>
      </c>
      <c r="B261" s="35" t="s">
        <v>43</v>
      </c>
      <c r="C261" s="35" t="s">
        <v>23</v>
      </c>
      <c r="D261" s="35" t="s">
        <v>44</v>
      </c>
      <c r="E261" s="35" t="s">
        <v>25</v>
      </c>
      <c r="F261" s="35" t="s">
        <v>25</v>
      </c>
      <c r="G261" s="35" t="s">
        <v>25</v>
      </c>
      <c r="H261" s="35" t="s">
        <v>25</v>
      </c>
      <c r="I261" s="54">
        <v>44652</v>
      </c>
      <c r="J261" s="55">
        <f>EFEITO!$J$261*EFEITO!$Y$134</f>
        <v>0</v>
      </c>
      <c r="K261" s="55">
        <f ca="1">EFEITO!$L$261*EFEITO!$Z$134</f>
        <v>758874.72462381702</v>
      </c>
      <c r="L261" s="55">
        <f>EFEITO!$N$261*EFEITO!$AA$134</f>
        <v>243717.01467451869</v>
      </c>
      <c r="M261" s="55">
        <f>$J$261-EFEITO!$K$261*EFEITO!$Y$261</f>
        <v>0</v>
      </c>
      <c r="N261" s="55">
        <f ca="1">$K$261-EFEITO!$M$261*EFEITO!$Z$261</f>
        <v>45532.483477429021</v>
      </c>
      <c r="O261" s="55">
        <f>$L$261-EFEITO!$O$261*EFEITO!$AA$261</f>
        <v>14623.020880471129</v>
      </c>
      <c r="P261" s="39"/>
      <c r="Q261" s="39"/>
      <c r="R261" s="39"/>
      <c r="S261" s="39"/>
      <c r="T261" s="39"/>
      <c r="U261" s="39"/>
      <c r="V261" s="39"/>
      <c r="W261" s="39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35" t="s">
        <v>27</v>
      </c>
      <c r="B262" s="35" t="s">
        <v>43</v>
      </c>
      <c r="C262" s="35" t="s">
        <v>23</v>
      </c>
      <c r="D262" s="35" t="s">
        <v>44</v>
      </c>
      <c r="E262" s="35" t="s">
        <v>25</v>
      </c>
      <c r="F262" s="35" t="s">
        <v>25</v>
      </c>
      <c r="G262" s="35" t="s">
        <v>25</v>
      </c>
      <c r="H262" s="35" t="s">
        <v>25</v>
      </c>
      <c r="I262" s="54">
        <v>44652</v>
      </c>
      <c r="J262" s="55">
        <f>EFEITO!$J$262*EFEITO!$Y$134</f>
        <v>0</v>
      </c>
      <c r="K262" s="55">
        <f ca="1">EFEITO!$L$262*EFEITO!$Z$134</f>
        <v>-267.9383859117533</v>
      </c>
      <c r="L262" s="55">
        <f>EFEITO!$N$262*EFEITO!$AA$134</f>
        <v>-86.049965049886424</v>
      </c>
      <c r="M262" s="55">
        <f>$J$262-EFEITO!$K$262*EFEITO!$Y$262</f>
        <v>0</v>
      </c>
      <c r="N262" s="55">
        <f ca="1">$K$262-EFEITO!$M$262*EFEITO!$Z$262</f>
        <v>-16.076303154705187</v>
      </c>
      <c r="O262" s="55">
        <f>$L$262-EFEITO!$O$262*EFEITO!$AA$262</f>
        <v>-5.1629979029931974</v>
      </c>
      <c r="P262" s="39"/>
      <c r="Q262" s="39"/>
      <c r="R262" s="39"/>
      <c r="S262" s="39"/>
      <c r="T262" s="39"/>
      <c r="U262" s="39"/>
      <c r="V262" s="39"/>
      <c r="W262" s="39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35" t="s">
        <v>28</v>
      </c>
      <c r="B263" s="35" t="s">
        <v>43</v>
      </c>
      <c r="C263" s="35" t="s">
        <v>23</v>
      </c>
      <c r="D263" s="35" t="s">
        <v>44</v>
      </c>
      <c r="E263" s="35" t="s">
        <v>25</v>
      </c>
      <c r="F263" s="35" t="s">
        <v>25</v>
      </c>
      <c r="G263" s="35" t="s">
        <v>25</v>
      </c>
      <c r="H263" s="35" t="s">
        <v>25</v>
      </c>
      <c r="I263" s="54">
        <v>44652</v>
      </c>
      <c r="J263" s="55">
        <f>EFEITO!$J$263*EFEITO!$Y$134</f>
        <v>0</v>
      </c>
      <c r="K263" s="55">
        <f ca="1">EFEITO!$L$263*EFEITO!$Z$134</f>
        <v>15773.574319459942</v>
      </c>
      <c r="L263" s="55">
        <f>EFEITO!$N$263*EFEITO!$AA$134</f>
        <v>5065.774783566666</v>
      </c>
      <c r="M263" s="55">
        <f>$J$263-EFEITO!$K$263*EFEITO!$Y$263</f>
        <v>0</v>
      </c>
      <c r="N263" s="55">
        <f ca="1">$K$263-EFEITO!$M$263*EFEITO!$Z$263</f>
        <v>946.41445916759767</v>
      </c>
      <c r="O263" s="55">
        <f>$L$263-EFEITO!$O$263*EFEITO!$AA$263</f>
        <v>303.94648701400001</v>
      </c>
      <c r="P263" s="39"/>
      <c r="Q263" s="39"/>
      <c r="R263" s="39"/>
      <c r="S263" s="39"/>
      <c r="T263" s="39"/>
      <c r="U263" s="39"/>
      <c r="V263" s="39"/>
      <c r="W263" s="39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35" t="s">
        <v>28</v>
      </c>
      <c r="B264" s="35" t="s">
        <v>43</v>
      </c>
      <c r="C264" s="35" t="s">
        <v>23</v>
      </c>
      <c r="D264" s="35" t="s">
        <v>44</v>
      </c>
      <c r="E264" s="35" t="s">
        <v>25</v>
      </c>
      <c r="F264" s="35" t="s">
        <v>25</v>
      </c>
      <c r="G264" s="35" t="s">
        <v>25</v>
      </c>
      <c r="H264" s="35" t="s">
        <v>25</v>
      </c>
      <c r="I264" s="54">
        <v>44652</v>
      </c>
      <c r="J264" s="55">
        <f>EFEITO!$J$264*EFEITO!$Y$134</f>
        <v>0</v>
      </c>
      <c r="K264" s="55">
        <f ca="1">EFEITO!$L$264*EFEITO!$Z$134</f>
        <v>6419.0975322501827</v>
      </c>
      <c r="L264" s="55">
        <f>EFEITO!$N$264*EFEITO!$AA$134</f>
        <v>2061.5303642377826</v>
      </c>
      <c r="M264" s="55">
        <f>$J$264-EFEITO!$K$264*EFEITO!$Y$264</f>
        <v>0</v>
      </c>
      <c r="N264" s="55">
        <f ca="1">$K$264-EFEITO!$M$264*EFEITO!$Z$264</f>
        <v>385.1458519350108</v>
      </c>
      <c r="O264" s="55">
        <f>$L$264-EFEITO!$O$264*EFEITO!$AA$264</f>
        <v>123.69182185426689</v>
      </c>
      <c r="P264" s="39"/>
      <c r="Q264" s="39"/>
      <c r="R264" s="39"/>
      <c r="S264" s="39"/>
      <c r="T264" s="39"/>
      <c r="U264" s="39"/>
      <c r="V264" s="39"/>
      <c r="W264" s="39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35" t="s">
        <v>21</v>
      </c>
      <c r="B265" s="35" t="s">
        <v>43</v>
      </c>
      <c r="C265" s="35" t="s">
        <v>23</v>
      </c>
      <c r="D265" s="35" t="s">
        <v>44</v>
      </c>
      <c r="E265" s="35" t="s">
        <v>25</v>
      </c>
      <c r="F265" s="35" t="s">
        <v>25</v>
      </c>
      <c r="G265" s="35" t="s">
        <v>25</v>
      </c>
      <c r="H265" s="35" t="s">
        <v>25</v>
      </c>
      <c r="I265" s="54">
        <v>44682</v>
      </c>
      <c r="J265" s="55">
        <f>EFEITO!$J$265*EFEITO!$Y$134</f>
        <v>0</v>
      </c>
      <c r="K265" s="55">
        <f ca="1">EFEITO!$L$265*EFEITO!$Z$134</f>
        <v>699914.77895184816</v>
      </c>
      <c r="L265" s="55">
        <f>EFEITO!$N$265*EFEITO!$AA$134</f>
        <v>224781.68651259155</v>
      </c>
      <c r="M265" s="55">
        <f>$J$265-EFEITO!$K$265*EFEITO!$Y$265</f>
        <v>0</v>
      </c>
      <c r="N265" s="55">
        <f ca="1">$K$265-EFEITO!$M$265*EFEITO!$Z$265</f>
        <v>41994.886737110908</v>
      </c>
      <c r="O265" s="55">
        <f>$L$265-EFEITO!$O$265*EFEITO!$AA$265</f>
        <v>13486.90119075551</v>
      </c>
      <c r="P265" s="39"/>
      <c r="Q265" s="39"/>
      <c r="R265" s="39"/>
      <c r="S265" s="39"/>
      <c r="T265" s="39"/>
      <c r="U265" s="39"/>
      <c r="V265" s="39"/>
      <c r="W265" s="39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35" t="s">
        <v>27</v>
      </c>
      <c r="B266" s="35" t="s">
        <v>43</v>
      </c>
      <c r="C266" s="35" t="s">
        <v>23</v>
      </c>
      <c r="D266" s="35" t="s">
        <v>44</v>
      </c>
      <c r="E266" s="35" t="s">
        <v>25</v>
      </c>
      <c r="F266" s="35" t="s">
        <v>25</v>
      </c>
      <c r="G266" s="35" t="s">
        <v>25</v>
      </c>
      <c r="H266" s="35" t="s">
        <v>25</v>
      </c>
      <c r="I266" s="54">
        <v>44682</v>
      </c>
      <c r="J266" s="55">
        <f>EFEITO!$J$266*EFEITO!$Y$134</f>
        <v>0</v>
      </c>
      <c r="K266" s="55">
        <f ca="1">EFEITO!$L$266*EFEITO!$Z$134</f>
        <v>-823.54705437217206</v>
      </c>
      <c r="L266" s="55">
        <f>EFEITO!$N$266*EFEITO!$AA$134</f>
        <v>-264.48690807968967</v>
      </c>
      <c r="M266" s="55">
        <f>$J$266-EFEITO!$K$266*EFEITO!$Y$266</f>
        <v>0</v>
      </c>
      <c r="N266" s="55">
        <f ca="1">$K$266-EFEITO!$M$266*EFEITO!$Z$266</f>
        <v>-49.412823262330335</v>
      </c>
      <c r="O266" s="55">
        <f>$L$266-EFEITO!$O$266*EFEITO!$AA$266</f>
        <v>-15.869214484781423</v>
      </c>
      <c r="P266" s="39"/>
      <c r="Q266" s="39"/>
      <c r="R266" s="39"/>
      <c r="S266" s="39"/>
      <c r="T266" s="39"/>
      <c r="U266" s="39"/>
      <c r="V266" s="39"/>
      <c r="W266" s="39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35" t="s">
        <v>28</v>
      </c>
      <c r="B267" s="35" t="s">
        <v>43</v>
      </c>
      <c r="C267" s="35" t="s">
        <v>23</v>
      </c>
      <c r="D267" s="35" t="s">
        <v>44</v>
      </c>
      <c r="E267" s="35" t="s">
        <v>25</v>
      </c>
      <c r="F267" s="35" t="s">
        <v>25</v>
      </c>
      <c r="G267" s="35" t="s">
        <v>25</v>
      </c>
      <c r="H267" s="35" t="s">
        <v>25</v>
      </c>
      <c r="I267" s="54">
        <v>44682</v>
      </c>
      <c r="J267" s="55">
        <f>EFEITO!$J$267*EFEITO!$Y$134</f>
        <v>0</v>
      </c>
      <c r="K267" s="55">
        <f ca="1">EFEITO!$L$267*EFEITO!$Z$134</f>
        <v>24288.40697872531</v>
      </c>
      <c r="L267" s="55">
        <f>EFEITO!$N$267*EFEITO!$AA$134</f>
        <v>7800.3626263729402</v>
      </c>
      <c r="M267" s="55">
        <f>$J$267-EFEITO!$K$267*EFEITO!$Y$267</f>
        <v>0</v>
      </c>
      <c r="N267" s="55">
        <f ca="1">$K$267-EFEITO!$M$267*EFEITO!$Z$267</f>
        <v>1457.3044187235173</v>
      </c>
      <c r="O267" s="55">
        <f>$L$267-EFEITO!$O$267*EFEITO!$AA$267</f>
        <v>468.02175758237718</v>
      </c>
      <c r="P267" s="39"/>
      <c r="Q267" s="39"/>
      <c r="R267" s="39"/>
      <c r="S267" s="39"/>
      <c r="T267" s="39"/>
      <c r="U267" s="39"/>
      <c r="V267" s="39"/>
      <c r="W267" s="39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35" t="s">
        <v>28</v>
      </c>
      <c r="B268" s="35" t="s">
        <v>43</v>
      </c>
      <c r="C268" s="35" t="s">
        <v>23</v>
      </c>
      <c r="D268" s="35" t="s">
        <v>44</v>
      </c>
      <c r="E268" s="35" t="s">
        <v>25</v>
      </c>
      <c r="F268" s="35" t="s">
        <v>25</v>
      </c>
      <c r="G268" s="35" t="s">
        <v>25</v>
      </c>
      <c r="H268" s="35" t="s">
        <v>25</v>
      </c>
      <c r="I268" s="54">
        <v>44682</v>
      </c>
      <c r="J268" s="55">
        <f>EFEITO!$J$268*EFEITO!$Y$134</f>
        <v>0</v>
      </c>
      <c r="K268" s="55">
        <f ca="1">EFEITO!$L$268*EFEITO!$Z$134</f>
        <v>8242.7401898511089</v>
      </c>
      <c r="L268" s="55">
        <f>EFEITO!$N$268*EFEITO!$AA$134</f>
        <v>2647.203769771118</v>
      </c>
      <c r="M268" s="55">
        <f>$J$268-EFEITO!$K$268*EFEITO!$Y$268</f>
        <v>0</v>
      </c>
      <c r="N268" s="55">
        <f ca="1">$K$268-EFEITO!$M$268*EFEITO!$Z$268</f>
        <v>494.56441139106664</v>
      </c>
      <c r="O268" s="55">
        <f>$L$268-EFEITO!$O$268*EFEITO!$AA$268</f>
        <v>158.83222618626723</v>
      </c>
      <c r="P268" s="39"/>
      <c r="Q268" s="39"/>
      <c r="R268" s="39"/>
      <c r="S268" s="39"/>
      <c r="T268" s="39"/>
      <c r="U268" s="39"/>
      <c r="V268" s="39"/>
      <c r="W268" s="39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35" t="s">
        <v>21</v>
      </c>
      <c r="B269" s="35" t="s">
        <v>43</v>
      </c>
      <c r="C269" s="35" t="s">
        <v>23</v>
      </c>
      <c r="D269" s="35" t="s">
        <v>44</v>
      </c>
      <c r="E269" s="35" t="s">
        <v>25</v>
      </c>
      <c r="F269" s="35" t="s">
        <v>25</v>
      </c>
      <c r="G269" s="35" t="s">
        <v>25</v>
      </c>
      <c r="H269" s="35" t="s">
        <v>25</v>
      </c>
      <c r="I269" s="54">
        <v>44713</v>
      </c>
      <c r="J269" s="55">
        <f>EFEITO!$J$269*EFEITO!$Y$134</f>
        <v>0</v>
      </c>
      <c r="K269" s="55">
        <f ca="1">EFEITO!$L$269*EFEITO!$Z$134</f>
        <v>709565.23418861162</v>
      </c>
      <c r="L269" s="55">
        <f>EFEITO!$N$269*EFEITO!$AA$134</f>
        <v>227880.9861258709</v>
      </c>
      <c r="M269" s="55">
        <f>$J$269-EFEITO!$K$269*EFEITO!$Y$269</f>
        <v>0</v>
      </c>
      <c r="N269" s="55">
        <f ca="1">$K$269-EFEITO!$M$269*EFEITO!$Z$269</f>
        <v>42573.914051316679</v>
      </c>
      <c r="O269" s="55">
        <f>$L$269-EFEITO!$O$269*EFEITO!$AA$269</f>
        <v>13672.859167552262</v>
      </c>
      <c r="P269" s="39"/>
      <c r="Q269" s="39"/>
      <c r="R269" s="39"/>
      <c r="S269" s="39"/>
      <c r="T269" s="39"/>
      <c r="U269" s="39"/>
      <c r="V269" s="39"/>
      <c r="W269" s="39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35" t="s">
        <v>27</v>
      </c>
      <c r="B270" s="35" t="s">
        <v>43</v>
      </c>
      <c r="C270" s="35" t="s">
        <v>23</v>
      </c>
      <c r="D270" s="35" t="s">
        <v>44</v>
      </c>
      <c r="E270" s="35" t="s">
        <v>25</v>
      </c>
      <c r="F270" s="35" t="s">
        <v>25</v>
      </c>
      <c r="G270" s="35" t="s">
        <v>25</v>
      </c>
      <c r="H270" s="35" t="s">
        <v>25</v>
      </c>
      <c r="I270" s="54">
        <v>44713</v>
      </c>
      <c r="J270" s="55">
        <f>EFEITO!$J$270*EFEITO!$Y$134</f>
        <v>0</v>
      </c>
      <c r="K270" s="55">
        <f ca="1">EFEITO!$L$270*EFEITO!$Z$134</f>
        <v>-97.1017018711199</v>
      </c>
      <c r="L270" s="55">
        <f>EFEITO!$N$270*EFEITO!$AA$134</f>
        <v>-31.184774155675889</v>
      </c>
      <c r="M270" s="55">
        <f>$J$270-EFEITO!$K$270*EFEITO!$Y$270</f>
        <v>0</v>
      </c>
      <c r="N270" s="55">
        <f ca="1">$K$270-EFEITO!$M$270*EFEITO!$Z$270</f>
        <v>-5.8261021122671934</v>
      </c>
      <c r="O270" s="55">
        <f>$L$270-EFEITO!$O$270*EFEITO!$AA$270</f>
        <v>-1.8710864493405523</v>
      </c>
      <c r="P270" s="39"/>
      <c r="Q270" s="39"/>
      <c r="R270" s="39"/>
      <c r="S270" s="39"/>
      <c r="T270" s="39"/>
      <c r="U270" s="39"/>
      <c r="V270" s="39"/>
      <c r="W270" s="39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35" t="s">
        <v>21</v>
      </c>
      <c r="B271" s="35" t="s">
        <v>43</v>
      </c>
      <c r="C271" s="35" t="s">
        <v>23</v>
      </c>
      <c r="D271" s="35" t="s">
        <v>44</v>
      </c>
      <c r="E271" s="35" t="s">
        <v>25</v>
      </c>
      <c r="F271" s="35" t="s">
        <v>25</v>
      </c>
      <c r="G271" s="35" t="s">
        <v>25</v>
      </c>
      <c r="H271" s="35" t="s">
        <v>25</v>
      </c>
      <c r="I271" s="54">
        <v>44743</v>
      </c>
      <c r="J271" s="55">
        <f>EFEITO!$J$271*EFEITO!$Y$134</f>
        <v>0</v>
      </c>
      <c r="K271" s="55">
        <f ca="1">EFEITO!$L$271*EFEITO!$Z$134</f>
        <v>626691.26831358101</v>
      </c>
      <c r="L271" s="55">
        <f>EFEITO!$N$271*EFEITO!$AA$134</f>
        <v>201265.53181974325</v>
      </c>
      <c r="M271" s="55">
        <f>$J$271-EFEITO!$K$271*EFEITO!$Y$271</f>
        <v>0</v>
      </c>
      <c r="N271" s="55">
        <f ca="1">$K$271-EFEITO!$M$271*EFEITO!$Z$271</f>
        <v>37601.476098814863</v>
      </c>
      <c r="O271" s="55">
        <f>$L$271-EFEITO!$O$271*EFEITO!$AA$271</f>
        <v>12075.931909184612</v>
      </c>
      <c r="P271" s="39"/>
      <c r="Q271" s="39"/>
      <c r="R271" s="39"/>
      <c r="S271" s="39"/>
      <c r="T271" s="39"/>
      <c r="U271" s="39"/>
      <c r="V271" s="39"/>
      <c r="W271" s="39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35" t="s">
        <v>27</v>
      </c>
      <c r="B272" s="35" t="s">
        <v>43</v>
      </c>
      <c r="C272" s="35" t="s">
        <v>23</v>
      </c>
      <c r="D272" s="35" t="s">
        <v>44</v>
      </c>
      <c r="E272" s="35" t="s">
        <v>25</v>
      </c>
      <c r="F272" s="35" t="s">
        <v>25</v>
      </c>
      <c r="G272" s="35" t="s">
        <v>25</v>
      </c>
      <c r="H272" s="35" t="s">
        <v>25</v>
      </c>
      <c r="I272" s="54">
        <v>44743</v>
      </c>
      <c r="J272" s="55">
        <f>EFEITO!$J$272*EFEITO!$Y$134</f>
        <v>0</v>
      </c>
      <c r="K272" s="55">
        <f ca="1">EFEITO!$L$272*EFEITO!$Z$134</f>
        <v>-170.31742360281993</v>
      </c>
      <c r="L272" s="55">
        <f>EFEITO!$N$272*EFEITO!$AA$134</f>
        <v>-54.698427396051834</v>
      </c>
      <c r="M272" s="55">
        <f>$J$272-EFEITO!$K$272*EFEITO!$Y$272</f>
        <v>0</v>
      </c>
      <c r="N272" s="55">
        <f ca="1">$K$272-EFEITO!$M$272*EFEITO!$Z$272</f>
        <v>-10.219045416169195</v>
      </c>
      <c r="O272" s="55">
        <f>$L$272-EFEITO!$O$272*EFEITO!$AA$272</f>
        <v>-3.2819056437631176</v>
      </c>
      <c r="P272" s="39"/>
      <c r="Q272" s="39"/>
      <c r="R272" s="39"/>
      <c r="S272" s="39"/>
      <c r="T272" s="39"/>
      <c r="U272" s="39"/>
      <c r="V272" s="39"/>
      <c r="W272" s="39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35" t="s">
        <v>28</v>
      </c>
      <c r="B273" s="35" t="s">
        <v>43</v>
      </c>
      <c r="C273" s="35" t="s">
        <v>23</v>
      </c>
      <c r="D273" s="35" t="s">
        <v>44</v>
      </c>
      <c r="E273" s="35" t="s">
        <v>25</v>
      </c>
      <c r="F273" s="35" t="s">
        <v>25</v>
      </c>
      <c r="G273" s="35" t="s">
        <v>25</v>
      </c>
      <c r="H273" s="35" t="s">
        <v>25</v>
      </c>
      <c r="I273" s="54">
        <v>44743</v>
      </c>
      <c r="J273" s="55">
        <f>EFEITO!$J$273*EFEITO!$Y$134</f>
        <v>0</v>
      </c>
      <c r="K273" s="55">
        <f ca="1">EFEITO!$L$273*EFEITO!$Z$134</f>
        <v>23933.752099698708</v>
      </c>
      <c r="L273" s="55">
        <f>EFEITO!$N$273*EFEITO!$AA$134</f>
        <v>7686.4631571305517</v>
      </c>
      <c r="M273" s="55">
        <f>$J$273-EFEITO!$K$273*EFEITO!$Y$273</f>
        <v>0</v>
      </c>
      <c r="N273" s="55">
        <f ca="1">$K$273-EFEITO!$M$273*EFEITO!$Z$273</f>
        <v>1436.0251259819233</v>
      </c>
      <c r="O273" s="55">
        <f>$L$273-EFEITO!$O$273*EFEITO!$AA$273</f>
        <v>461.1877894278341</v>
      </c>
      <c r="P273" s="39"/>
      <c r="Q273" s="39"/>
      <c r="R273" s="39"/>
      <c r="S273" s="39"/>
      <c r="T273" s="39"/>
      <c r="U273" s="39"/>
      <c r="V273" s="39"/>
      <c r="W273" s="39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35" t="s">
        <v>21</v>
      </c>
      <c r="B274" s="35" t="s">
        <v>43</v>
      </c>
      <c r="C274" s="35" t="s">
        <v>23</v>
      </c>
      <c r="D274" s="35" t="s">
        <v>44</v>
      </c>
      <c r="E274" s="35" t="s">
        <v>25</v>
      </c>
      <c r="F274" s="35" t="s">
        <v>25</v>
      </c>
      <c r="G274" s="35" t="s">
        <v>25</v>
      </c>
      <c r="H274" s="35" t="s">
        <v>25</v>
      </c>
      <c r="I274" s="54">
        <v>44774</v>
      </c>
      <c r="J274" s="55">
        <f>EFEITO!$J$274*EFEITO!$Y$134</f>
        <v>0</v>
      </c>
      <c r="K274" s="55">
        <f ca="1">EFEITO!$L$274*EFEITO!$Z$134</f>
        <v>707527.65623063152</v>
      </c>
      <c r="L274" s="55">
        <f>EFEITO!$N$274*EFEITO!$AA$134</f>
        <v>227226.60615909618</v>
      </c>
      <c r="M274" s="55">
        <f>$J$274-EFEITO!$K$274*EFEITO!$Y$274</f>
        <v>0</v>
      </c>
      <c r="N274" s="55">
        <f ca="1">$K$274-EFEITO!$M$274*EFEITO!$Z$274</f>
        <v>42451.659373837872</v>
      </c>
      <c r="O274" s="55">
        <f>$L$274-EFEITO!$O$274*EFEITO!$AA$274</f>
        <v>13633.59636954579</v>
      </c>
      <c r="P274" s="39"/>
      <c r="Q274" s="39"/>
      <c r="R274" s="39"/>
      <c r="S274" s="39"/>
      <c r="T274" s="39"/>
      <c r="U274" s="39"/>
      <c r="V274" s="39"/>
      <c r="W274" s="39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35" t="s">
        <v>28</v>
      </c>
      <c r="B275" s="35" t="s">
        <v>43</v>
      </c>
      <c r="C275" s="35" t="s">
        <v>23</v>
      </c>
      <c r="D275" s="35" t="s">
        <v>44</v>
      </c>
      <c r="E275" s="35" t="s">
        <v>25</v>
      </c>
      <c r="F275" s="35" t="s">
        <v>25</v>
      </c>
      <c r="G275" s="35" t="s">
        <v>25</v>
      </c>
      <c r="H275" s="35" t="s">
        <v>25</v>
      </c>
      <c r="I275" s="54">
        <v>44774</v>
      </c>
      <c r="J275" s="55">
        <f>EFEITO!$J$275*EFEITO!$Y$134</f>
        <v>0</v>
      </c>
      <c r="K275" s="55">
        <f ca="1">EFEITO!$L$275*EFEITO!$Z$134</f>
        <v>20716.933687444227</v>
      </c>
      <c r="L275" s="55">
        <f>EFEITO!$N$275*EFEITO!$AA$134</f>
        <v>6653.3632860374382</v>
      </c>
      <c r="M275" s="55">
        <f>$J$275-EFEITO!$K$275*EFEITO!$Y$275</f>
        <v>0</v>
      </c>
      <c r="N275" s="55">
        <f ca="1">$K$275-EFEITO!$M$275*EFEITO!$Z$275</f>
        <v>1243.0160212466544</v>
      </c>
      <c r="O275" s="55">
        <f>$L$275-EFEITO!$O$275*EFEITO!$AA$275</f>
        <v>399.20179716224629</v>
      </c>
      <c r="P275" s="39"/>
      <c r="Q275" s="39"/>
      <c r="R275" s="39"/>
      <c r="S275" s="39"/>
      <c r="T275" s="39"/>
      <c r="U275" s="39"/>
      <c r="V275" s="39"/>
      <c r="W275" s="39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35" t="s">
        <v>21</v>
      </c>
      <c r="B276" s="35" t="s">
        <v>35</v>
      </c>
      <c r="C276" s="35" t="s">
        <v>33</v>
      </c>
      <c r="D276" s="35" t="s">
        <v>40</v>
      </c>
      <c r="E276" s="35" t="s">
        <v>25</v>
      </c>
      <c r="F276" s="35" t="s">
        <v>25</v>
      </c>
      <c r="G276" s="35" t="s">
        <v>25</v>
      </c>
      <c r="H276" s="35" t="s">
        <v>34</v>
      </c>
      <c r="I276" s="54">
        <v>44440</v>
      </c>
      <c r="J276" s="55">
        <f>EFEITO!$J$276*EFEITO!$Y$276</f>
        <v>0</v>
      </c>
      <c r="K276" s="55">
        <f ca="1">EFEITO!$L$276*EFEITO!$Z$276</f>
        <v>416.58705516713582</v>
      </c>
      <c r="L276" s="55">
        <f>EFEITO!$N$276*EFEITO!$AA$276</f>
        <v>173.100511088725</v>
      </c>
      <c r="M276" s="55">
        <f>$J$276-EFEITO!$K$276*EFEITO!$Y$276</f>
        <v>0</v>
      </c>
      <c r="N276" s="55">
        <f ca="1">$K$276-EFEITO!$M$276*EFEITO!$Z$276</f>
        <v>0</v>
      </c>
      <c r="O276" s="55">
        <f>$L$276-EFEITO!$O$276*EFEITO!$AA$276</f>
        <v>0</v>
      </c>
      <c r="P276" s="39"/>
      <c r="Q276" s="39"/>
      <c r="R276" s="39"/>
      <c r="S276" s="39"/>
      <c r="T276" s="39"/>
      <c r="U276" s="39"/>
      <c r="V276" s="39"/>
      <c r="W276" s="39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35" t="s">
        <v>21</v>
      </c>
      <c r="B277" s="35" t="s">
        <v>35</v>
      </c>
      <c r="C277" s="35" t="s">
        <v>33</v>
      </c>
      <c r="D277" s="35" t="s">
        <v>40</v>
      </c>
      <c r="E277" s="35" t="s">
        <v>25</v>
      </c>
      <c r="F277" s="35" t="s">
        <v>25</v>
      </c>
      <c r="G277" s="35" t="s">
        <v>25</v>
      </c>
      <c r="H277" s="35" t="s">
        <v>34</v>
      </c>
      <c r="I277" s="54">
        <v>44470</v>
      </c>
      <c r="J277" s="55">
        <f>EFEITO!$J$277*EFEITO!$Y$277</f>
        <v>0</v>
      </c>
      <c r="K277" s="55">
        <f ca="1">EFEITO!$L$277*EFEITO!$Z$277</f>
        <v>391.70420601457084</v>
      </c>
      <c r="L277" s="55">
        <f>EFEITO!$N$277*EFEITO!$AA$277</f>
        <v>162.76117420288594</v>
      </c>
      <c r="M277" s="55">
        <f>$J$277-EFEITO!$K$277*EFEITO!$Y$277</f>
        <v>0</v>
      </c>
      <c r="N277" s="55">
        <f ca="1">$K$277-EFEITO!$M$277*EFEITO!$Z$277</f>
        <v>0</v>
      </c>
      <c r="O277" s="55">
        <f>$L$277-EFEITO!$O$277*EFEITO!$AA$277</f>
        <v>0</v>
      </c>
      <c r="P277" s="39"/>
      <c r="Q277" s="39"/>
      <c r="R277" s="39"/>
      <c r="S277" s="39"/>
      <c r="T277" s="39"/>
      <c r="U277" s="39"/>
      <c r="V277" s="39"/>
      <c r="W277" s="39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35" t="s">
        <v>21</v>
      </c>
      <c r="B278" s="35" t="s">
        <v>35</v>
      </c>
      <c r="C278" s="35" t="s">
        <v>33</v>
      </c>
      <c r="D278" s="35" t="s">
        <v>40</v>
      </c>
      <c r="E278" s="35" t="s">
        <v>25</v>
      </c>
      <c r="F278" s="35" t="s">
        <v>25</v>
      </c>
      <c r="G278" s="35" t="s">
        <v>25</v>
      </c>
      <c r="H278" s="35" t="s">
        <v>34</v>
      </c>
      <c r="I278" s="54">
        <v>44501</v>
      </c>
      <c r="J278" s="55">
        <f>EFEITO!$J$278*EFEITO!$Y$278</f>
        <v>0</v>
      </c>
      <c r="K278" s="55">
        <f ca="1">EFEITO!$L$278*EFEITO!$Z$278</f>
        <v>367.22269313866019</v>
      </c>
      <c r="L278" s="55">
        <f>EFEITO!$N$278*EFEITO!$AA$278</f>
        <v>152.58860081520558</v>
      </c>
      <c r="M278" s="55">
        <f>$J$278-EFEITO!$K$278*EFEITO!$Y$278</f>
        <v>0</v>
      </c>
      <c r="N278" s="55">
        <f ca="1">$K$278-EFEITO!$M$278*EFEITO!$Z$278</f>
        <v>0</v>
      </c>
      <c r="O278" s="55">
        <f>$L$278-EFEITO!$O$278*EFEITO!$AA$278</f>
        <v>0</v>
      </c>
      <c r="P278" s="39"/>
      <c r="Q278" s="39"/>
      <c r="R278" s="39"/>
      <c r="S278" s="39"/>
      <c r="T278" s="39"/>
      <c r="U278" s="39"/>
      <c r="V278" s="39"/>
      <c r="W278" s="39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35" t="s">
        <v>21</v>
      </c>
      <c r="B279" s="35" t="s">
        <v>35</v>
      </c>
      <c r="C279" s="35" t="s">
        <v>33</v>
      </c>
      <c r="D279" s="35" t="s">
        <v>40</v>
      </c>
      <c r="E279" s="35" t="s">
        <v>25</v>
      </c>
      <c r="F279" s="35" t="s">
        <v>25</v>
      </c>
      <c r="G279" s="35" t="s">
        <v>25</v>
      </c>
      <c r="H279" s="35" t="s">
        <v>34</v>
      </c>
      <c r="I279" s="54">
        <v>44531</v>
      </c>
      <c r="J279" s="55">
        <f>EFEITO!$J$279*EFEITO!$Y$279</f>
        <v>0</v>
      </c>
      <c r="K279" s="55">
        <f ca="1">EFEITO!$L$279*EFEITO!$Z$279</f>
        <v>338.72781749620674</v>
      </c>
      <c r="L279" s="55">
        <f>EFEITO!$N$279*EFEITO!$AA$279</f>
        <v>140.74839244593824</v>
      </c>
      <c r="M279" s="55">
        <f>$J$279-EFEITO!$K$279*EFEITO!$Y$279</f>
        <v>0</v>
      </c>
      <c r="N279" s="55">
        <f ca="1">$K$279-EFEITO!$M$279*EFEITO!$Z$279</f>
        <v>0</v>
      </c>
      <c r="O279" s="55">
        <f>$L$279-EFEITO!$O$279*EFEITO!$AA$279</f>
        <v>0</v>
      </c>
      <c r="P279" s="39"/>
      <c r="Q279" s="39"/>
      <c r="R279" s="39"/>
      <c r="S279" s="39"/>
      <c r="T279" s="39"/>
      <c r="U279" s="39"/>
      <c r="V279" s="39"/>
      <c r="W279" s="39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35" t="s">
        <v>21</v>
      </c>
      <c r="B280" s="35" t="s">
        <v>35</v>
      </c>
      <c r="C280" s="35" t="s">
        <v>33</v>
      </c>
      <c r="D280" s="35" t="s">
        <v>40</v>
      </c>
      <c r="E280" s="35" t="s">
        <v>25</v>
      </c>
      <c r="F280" s="35" t="s">
        <v>25</v>
      </c>
      <c r="G280" s="35" t="s">
        <v>25</v>
      </c>
      <c r="H280" s="35" t="s">
        <v>34</v>
      </c>
      <c r="I280" s="54">
        <v>44562</v>
      </c>
      <c r="J280" s="55">
        <f>EFEITO!$J$280*EFEITO!$Y$280</f>
        <v>0</v>
      </c>
      <c r="K280" s="55">
        <f ca="1">EFEITO!$L$280*EFEITO!$Z$280</f>
        <v>496.05163794468194</v>
      </c>
      <c r="L280" s="55">
        <f>EFEITO!$N$280*EFEITO!$AA$280</f>
        <v>206.11968372414654</v>
      </c>
      <c r="M280" s="55">
        <f>$J$280-EFEITO!$K$280*EFEITO!$Y$280</f>
        <v>0</v>
      </c>
      <c r="N280" s="55">
        <f ca="1">$K$280-EFEITO!$M$280*EFEITO!$Z$280</f>
        <v>0</v>
      </c>
      <c r="O280" s="55">
        <f>$L$280-EFEITO!$O$280*EFEITO!$AA$280</f>
        <v>0</v>
      </c>
      <c r="P280" s="39"/>
      <c r="Q280" s="39"/>
      <c r="R280" s="39"/>
      <c r="S280" s="39"/>
      <c r="T280" s="39"/>
      <c r="U280" s="39"/>
      <c r="V280" s="39"/>
      <c r="W280" s="39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35" t="s">
        <v>21</v>
      </c>
      <c r="B281" s="35" t="s">
        <v>35</v>
      </c>
      <c r="C281" s="35" t="s">
        <v>33</v>
      </c>
      <c r="D281" s="35" t="s">
        <v>40</v>
      </c>
      <c r="E281" s="35" t="s">
        <v>25</v>
      </c>
      <c r="F281" s="35" t="s">
        <v>25</v>
      </c>
      <c r="G281" s="35" t="s">
        <v>25</v>
      </c>
      <c r="H281" s="35" t="s">
        <v>34</v>
      </c>
      <c r="I281" s="54">
        <v>44593</v>
      </c>
      <c r="J281" s="55">
        <f>EFEITO!$J$281*EFEITO!$Y$281</f>
        <v>0</v>
      </c>
      <c r="K281" s="55">
        <f ca="1">EFEITO!$L$281*EFEITO!$Z$281</f>
        <v>541.40263720661483</v>
      </c>
      <c r="L281" s="55">
        <f>EFEITO!$N$281*EFEITO!$AA$281</f>
        <v>224.963959016079</v>
      </c>
      <c r="M281" s="55">
        <f>$J$281-EFEITO!$K$281*EFEITO!$Y$281</f>
        <v>0</v>
      </c>
      <c r="N281" s="55">
        <f ca="1">$K$281-EFEITO!$M$281*EFEITO!$Z$281</f>
        <v>0</v>
      </c>
      <c r="O281" s="55">
        <f>$L$281-EFEITO!$O$281*EFEITO!$AA$281</f>
        <v>0</v>
      </c>
      <c r="P281" s="39"/>
      <c r="Q281" s="39"/>
      <c r="R281" s="39"/>
      <c r="S281" s="39"/>
      <c r="T281" s="39"/>
      <c r="U281" s="39"/>
      <c r="V281" s="39"/>
      <c r="W281" s="39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35" t="s">
        <v>21</v>
      </c>
      <c r="B282" s="35" t="s">
        <v>35</v>
      </c>
      <c r="C282" s="35" t="s">
        <v>33</v>
      </c>
      <c r="D282" s="35" t="s">
        <v>40</v>
      </c>
      <c r="E282" s="35" t="s">
        <v>25</v>
      </c>
      <c r="F282" s="35" t="s">
        <v>25</v>
      </c>
      <c r="G282" s="35" t="s">
        <v>25</v>
      </c>
      <c r="H282" s="35" t="s">
        <v>34</v>
      </c>
      <c r="I282" s="54">
        <v>44621</v>
      </c>
      <c r="J282" s="55">
        <f>EFEITO!$J$282*EFEITO!$Y$282</f>
        <v>0</v>
      </c>
      <c r="K282" s="55">
        <f ca="1">EFEITO!$L$282*EFEITO!$Z$282</f>
        <v>48.160353198512809</v>
      </c>
      <c r="L282" s="55">
        <f>EFEITO!$N$282*EFEITO!$AA$282</f>
        <v>20.01161977904335</v>
      </c>
      <c r="M282" s="55">
        <f>$J$282-EFEITO!$K$282*EFEITO!$Y$282</f>
        <v>0</v>
      </c>
      <c r="N282" s="55">
        <f ca="1">$K$282-EFEITO!$M$282*EFEITO!$Z$282</f>
        <v>0</v>
      </c>
      <c r="O282" s="55">
        <f>$L$282-EFEITO!$O$282*EFEITO!$AA$282</f>
        <v>0</v>
      </c>
      <c r="P282" s="39"/>
      <c r="Q282" s="39"/>
      <c r="R282" s="39"/>
      <c r="S282" s="39"/>
      <c r="T282" s="39"/>
      <c r="U282" s="39"/>
      <c r="V282" s="39"/>
      <c r="W282" s="39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35" t="s">
        <v>21</v>
      </c>
      <c r="B283" s="35" t="s">
        <v>35</v>
      </c>
      <c r="C283" s="35" t="s">
        <v>33</v>
      </c>
      <c r="D283" s="35" t="s">
        <v>40</v>
      </c>
      <c r="E283" s="35" t="s">
        <v>25</v>
      </c>
      <c r="F283" s="35" t="s">
        <v>25</v>
      </c>
      <c r="G283" s="35" t="s">
        <v>25</v>
      </c>
      <c r="H283" s="35" t="s">
        <v>42</v>
      </c>
      <c r="I283" s="54">
        <v>44440</v>
      </c>
      <c r="J283" s="55">
        <f>EFEITO!$J$283*EFEITO!$Y$283</f>
        <v>0</v>
      </c>
      <c r="K283" s="55">
        <f ca="1">EFEITO!$L$283*EFEITO!$Z$283</f>
        <v>63.911299312271666</v>
      </c>
      <c r="L283" s="55">
        <f>EFEITO!$N$283*EFEITO!$AA$283</f>
        <v>11.506681372949929</v>
      </c>
      <c r="M283" s="55">
        <f>$J$283-EFEITO!$K$283*EFEITO!$Y$283</f>
        <v>0</v>
      </c>
      <c r="N283" s="55">
        <f ca="1">$K$283-EFEITO!$M$283*EFEITO!$Z$283</f>
        <v>0</v>
      </c>
      <c r="O283" s="55">
        <f>$L$283-EFEITO!$O$283*EFEITO!$AA$283</f>
        <v>0</v>
      </c>
      <c r="P283" s="39"/>
      <c r="Q283" s="39"/>
      <c r="R283" s="39"/>
      <c r="S283" s="39"/>
      <c r="T283" s="39"/>
      <c r="U283" s="39"/>
      <c r="V283" s="39"/>
      <c r="W283" s="39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35" t="s">
        <v>21</v>
      </c>
      <c r="B284" s="35" t="s">
        <v>35</v>
      </c>
      <c r="C284" s="35" t="s">
        <v>33</v>
      </c>
      <c r="D284" s="35" t="s">
        <v>40</v>
      </c>
      <c r="E284" s="35" t="s">
        <v>25</v>
      </c>
      <c r="F284" s="35" t="s">
        <v>25</v>
      </c>
      <c r="G284" s="35" t="s">
        <v>25</v>
      </c>
      <c r="H284" s="35" t="s">
        <v>42</v>
      </c>
      <c r="I284" s="54">
        <v>44470</v>
      </c>
      <c r="J284" s="55">
        <f>EFEITO!$J$284*EFEITO!$Y$284</f>
        <v>0</v>
      </c>
      <c r="K284" s="55">
        <f ca="1">EFEITO!$L$284*EFEITO!$Z$284</f>
        <v>65.763800741612869</v>
      </c>
      <c r="L284" s="55">
        <f>EFEITO!$N$284*EFEITO!$AA$284</f>
        <v>11.840208369267316</v>
      </c>
      <c r="M284" s="55">
        <f>$J$284-EFEITO!$K$284*EFEITO!$Y$284</f>
        <v>0</v>
      </c>
      <c r="N284" s="55">
        <f ca="1">$K$284-EFEITO!$M$284*EFEITO!$Z$284</f>
        <v>0</v>
      </c>
      <c r="O284" s="55">
        <f>$L$284-EFEITO!$O$284*EFEITO!$AA$284</f>
        <v>0</v>
      </c>
      <c r="P284" s="39"/>
      <c r="Q284" s="39"/>
      <c r="R284" s="39"/>
      <c r="S284" s="39"/>
      <c r="T284" s="39"/>
      <c r="U284" s="39"/>
      <c r="V284" s="39"/>
      <c r="W284" s="39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35" t="s">
        <v>21</v>
      </c>
      <c r="B285" s="35" t="s">
        <v>35</v>
      </c>
      <c r="C285" s="35" t="s">
        <v>33</v>
      </c>
      <c r="D285" s="35" t="s">
        <v>40</v>
      </c>
      <c r="E285" s="35" t="s">
        <v>25</v>
      </c>
      <c r="F285" s="35" t="s">
        <v>25</v>
      </c>
      <c r="G285" s="35" t="s">
        <v>25</v>
      </c>
      <c r="H285" s="35" t="s">
        <v>42</v>
      </c>
      <c r="I285" s="54">
        <v>44501</v>
      </c>
      <c r="J285" s="55">
        <f>EFEITO!$J$285*EFEITO!$Y$285</f>
        <v>0</v>
      </c>
      <c r="K285" s="55">
        <f ca="1">EFEITO!$L$285*EFEITO!$Z$285</f>
        <v>62.058797882930456</v>
      </c>
      <c r="L285" s="55">
        <f>EFEITO!$N$285*EFEITO!$AA$285</f>
        <v>11.173154376632539</v>
      </c>
      <c r="M285" s="55">
        <f>$J$285-EFEITO!$K$285*EFEITO!$Y$285</f>
        <v>0</v>
      </c>
      <c r="N285" s="55">
        <f ca="1">$K$285-EFEITO!$M$285*EFEITO!$Z$285</f>
        <v>0</v>
      </c>
      <c r="O285" s="55">
        <f>$L$285-EFEITO!$O$285*EFEITO!$AA$285</f>
        <v>0</v>
      </c>
      <c r="P285" s="39"/>
      <c r="Q285" s="39"/>
      <c r="R285" s="39"/>
      <c r="S285" s="39"/>
      <c r="T285" s="39"/>
      <c r="U285" s="39"/>
      <c r="V285" s="39"/>
      <c r="W285" s="39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35" t="s">
        <v>21</v>
      </c>
      <c r="B286" s="35" t="s">
        <v>35</v>
      </c>
      <c r="C286" s="35" t="s">
        <v>33</v>
      </c>
      <c r="D286" s="35" t="s">
        <v>40</v>
      </c>
      <c r="E286" s="35" t="s">
        <v>25</v>
      </c>
      <c r="F286" s="35" t="s">
        <v>25</v>
      </c>
      <c r="G286" s="35" t="s">
        <v>25</v>
      </c>
      <c r="H286" s="35" t="s">
        <v>42</v>
      </c>
      <c r="I286" s="54">
        <v>44531</v>
      </c>
      <c r="J286" s="55">
        <f>EFEITO!$J$286*EFEITO!$Y$286</f>
        <v>0</v>
      </c>
      <c r="K286" s="55">
        <f ca="1">EFEITO!$L$286*EFEITO!$Z$286</f>
        <v>53.722541450895022</v>
      </c>
      <c r="L286" s="55">
        <f>EFEITO!$N$286*EFEITO!$AA$286</f>
        <v>9.6722828932042866</v>
      </c>
      <c r="M286" s="55">
        <f>$J$286-EFEITO!$K$286*EFEITO!$Y$286</f>
        <v>0</v>
      </c>
      <c r="N286" s="55">
        <f ca="1">$K$286-EFEITO!$M$286*EFEITO!$Z$286</f>
        <v>0</v>
      </c>
      <c r="O286" s="55">
        <f>$L$286-EFEITO!$O$286*EFEITO!$AA$286</f>
        <v>0</v>
      </c>
      <c r="P286" s="39"/>
      <c r="Q286" s="39"/>
      <c r="R286" s="39"/>
      <c r="S286" s="39"/>
      <c r="T286" s="39"/>
      <c r="U286" s="39"/>
      <c r="V286" s="39"/>
      <c r="W286" s="39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35" t="s">
        <v>21</v>
      </c>
      <c r="B287" s="35" t="s">
        <v>35</v>
      </c>
      <c r="C287" s="35" t="s">
        <v>33</v>
      </c>
      <c r="D287" s="35" t="s">
        <v>40</v>
      </c>
      <c r="E287" s="35" t="s">
        <v>25</v>
      </c>
      <c r="F287" s="35" t="s">
        <v>25</v>
      </c>
      <c r="G287" s="35" t="s">
        <v>25</v>
      </c>
      <c r="H287" s="35" t="s">
        <v>42</v>
      </c>
      <c r="I287" s="54">
        <v>44562</v>
      </c>
      <c r="J287" s="55">
        <f>EFEITO!$J$287*EFEITO!$Y$287</f>
        <v>0</v>
      </c>
      <c r="K287" s="55">
        <f ca="1">EFEITO!$L$287*EFEITO!$Z$287</f>
        <v>83.362564320354338</v>
      </c>
      <c r="L287" s="55">
        <f>EFEITO!$N$287*EFEITO!$AA$287</f>
        <v>15.008714834282515</v>
      </c>
      <c r="M287" s="55">
        <f>$J$287-EFEITO!$K$287*EFEITO!$Y$287</f>
        <v>0</v>
      </c>
      <c r="N287" s="55">
        <f ca="1">$K$287-EFEITO!$M$287*EFEITO!$Z$287</f>
        <v>0</v>
      </c>
      <c r="O287" s="55">
        <f>$L$287-EFEITO!$O$287*EFEITO!$AA$287</f>
        <v>0</v>
      </c>
      <c r="P287" s="39"/>
      <c r="Q287" s="39"/>
      <c r="R287" s="39"/>
      <c r="S287" s="39"/>
      <c r="T287" s="39"/>
      <c r="U287" s="39"/>
      <c r="V287" s="39"/>
      <c r="W287" s="39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35" t="s">
        <v>21</v>
      </c>
      <c r="B288" s="35" t="s">
        <v>35</v>
      </c>
      <c r="C288" s="35" t="s">
        <v>33</v>
      </c>
      <c r="D288" s="35" t="s">
        <v>40</v>
      </c>
      <c r="E288" s="35" t="s">
        <v>25</v>
      </c>
      <c r="F288" s="35" t="s">
        <v>25</v>
      </c>
      <c r="G288" s="35" t="s">
        <v>25</v>
      </c>
      <c r="H288" s="35" t="s">
        <v>42</v>
      </c>
      <c r="I288" s="54">
        <v>44593</v>
      </c>
      <c r="J288" s="55">
        <f>EFEITO!$J$288*EFEITO!$Y$288</f>
        <v>0</v>
      </c>
      <c r="K288" s="55">
        <f ca="1">EFEITO!$L$288*EFEITO!$Z$288</f>
        <v>94.477572896401583</v>
      </c>
      <c r="L288" s="55">
        <f>EFEITO!$N$288*EFEITO!$AA$288</f>
        <v>17.00987681218685</v>
      </c>
      <c r="M288" s="55">
        <f>$J$288-EFEITO!$K$288*EFEITO!$Y$288</f>
        <v>0</v>
      </c>
      <c r="N288" s="55">
        <f ca="1">$K$288-EFEITO!$M$288*EFEITO!$Z$288</f>
        <v>0</v>
      </c>
      <c r="O288" s="55">
        <f>$L$288-EFEITO!$O$288*EFEITO!$AA$288</f>
        <v>0</v>
      </c>
      <c r="P288" s="39"/>
      <c r="Q288" s="39"/>
      <c r="R288" s="39"/>
      <c r="S288" s="39"/>
      <c r="T288" s="39"/>
      <c r="U288" s="39"/>
      <c r="V288" s="39"/>
      <c r="W288" s="39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35" t="s">
        <v>21</v>
      </c>
      <c r="B289" s="35" t="s">
        <v>35</v>
      </c>
      <c r="C289" s="35" t="s">
        <v>33</v>
      </c>
      <c r="D289" s="35" t="s">
        <v>40</v>
      </c>
      <c r="E289" s="35" t="s">
        <v>25</v>
      </c>
      <c r="F289" s="35" t="s">
        <v>25</v>
      </c>
      <c r="G289" s="35" t="s">
        <v>25</v>
      </c>
      <c r="H289" s="35" t="s">
        <v>39</v>
      </c>
      <c r="I289" s="54">
        <v>44440</v>
      </c>
      <c r="J289" s="55">
        <f>EFEITO!$J$289*EFEITO!$Y$289</f>
        <v>0</v>
      </c>
      <c r="K289" s="55">
        <f ca="1">EFEITO!$L$289*EFEITO!$Z$289</f>
        <v>158.1838722060796</v>
      </c>
      <c r="L289" s="55">
        <f>EFEITO!$N$289*EFEITO!$AA$289</f>
        <v>18.177221299297713</v>
      </c>
      <c r="M289" s="55">
        <f>$J$289-EFEITO!$K$289*EFEITO!$Y$289</f>
        <v>0</v>
      </c>
      <c r="N289" s="55">
        <f ca="1">$K$289-EFEITO!$M$289*EFEITO!$Z$289</f>
        <v>0</v>
      </c>
      <c r="O289" s="55">
        <f>$L$289-EFEITO!$O$289*EFEITO!$AA$289</f>
        <v>0</v>
      </c>
      <c r="P289" s="39"/>
      <c r="Q289" s="39"/>
      <c r="R289" s="39"/>
      <c r="S289" s="39"/>
      <c r="T289" s="39"/>
      <c r="U289" s="39"/>
      <c r="V289" s="39"/>
      <c r="W289" s="39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35" t="s">
        <v>21</v>
      </c>
      <c r="B290" s="35" t="s">
        <v>35</v>
      </c>
      <c r="C290" s="35" t="s">
        <v>33</v>
      </c>
      <c r="D290" s="35" t="s">
        <v>40</v>
      </c>
      <c r="E290" s="35" t="s">
        <v>25</v>
      </c>
      <c r="F290" s="35" t="s">
        <v>25</v>
      </c>
      <c r="G290" s="35" t="s">
        <v>25</v>
      </c>
      <c r="H290" s="35" t="s">
        <v>39</v>
      </c>
      <c r="I290" s="54">
        <v>44470</v>
      </c>
      <c r="J290" s="55">
        <f>EFEITO!$J$290*EFEITO!$Y$290</f>
        <v>0</v>
      </c>
      <c r="K290" s="55">
        <f ca="1">EFEITO!$L$290*EFEITO!$Z$290</f>
        <v>146.57404672306458</v>
      </c>
      <c r="L290" s="55">
        <f>EFEITO!$N$290*EFEITO!$AA$290</f>
        <v>16.843113314028155</v>
      </c>
      <c r="M290" s="55">
        <f>$J$290-EFEITO!$K$290*EFEITO!$Y$290</f>
        <v>0</v>
      </c>
      <c r="N290" s="55">
        <f ca="1">$K$290-EFEITO!$M$290*EFEITO!$Z$290</f>
        <v>0</v>
      </c>
      <c r="O290" s="55">
        <f>$L$290-EFEITO!$O$290*EFEITO!$AA$290</f>
        <v>0</v>
      </c>
      <c r="P290" s="39"/>
      <c r="Q290" s="39"/>
      <c r="R290" s="39"/>
      <c r="S290" s="39"/>
      <c r="T290" s="39"/>
      <c r="U290" s="39"/>
      <c r="V290" s="39"/>
      <c r="W290" s="39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35" t="s">
        <v>21</v>
      </c>
      <c r="B291" s="35" t="s">
        <v>35</v>
      </c>
      <c r="C291" s="35" t="s">
        <v>33</v>
      </c>
      <c r="D291" s="35" t="s">
        <v>40</v>
      </c>
      <c r="E291" s="35" t="s">
        <v>25</v>
      </c>
      <c r="F291" s="35" t="s">
        <v>25</v>
      </c>
      <c r="G291" s="35" t="s">
        <v>25</v>
      </c>
      <c r="H291" s="35" t="s">
        <v>39</v>
      </c>
      <c r="I291" s="54">
        <v>44501</v>
      </c>
      <c r="J291" s="55">
        <f>EFEITO!$J$291*EFEITO!$Y$291</f>
        <v>0</v>
      </c>
      <c r="K291" s="55">
        <f ca="1">EFEITO!$L$291*EFEITO!$Z$291</f>
        <v>149.47650309381834</v>
      </c>
      <c r="L291" s="55">
        <f>EFEITO!$N$291*EFEITO!$AA$291</f>
        <v>17.176640310345544</v>
      </c>
      <c r="M291" s="55">
        <f>$J$291-EFEITO!$K$291*EFEITO!$Y$291</f>
        <v>0</v>
      </c>
      <c r="N291" s="55">
        <f ca="1">$K$291-EFEITO!$M$291*EFEITO!$Z$291</f>
        <v>0</v>
      </c>
      <c r="O291" s="55">
        <f>$L$291-EFEITO!$O$291*EFEITO!$AA$291</f>
        <v>0</v>
      </c>
      <c r="P291" s="39"/>
      <c r="Q291" s="39"/>
      <c r="R291" s="39"/>
      <c r="S291" s="39"/>
      <c r="T291" s="39"/>
      <c r="U291" s="39"/>
      <c r="V291" s="39"/>
      <c r="W291" s="39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35" t="s">
        <v>21</v>
      </c>
      <c r="B292" s="35" t="s">
        <v>35</v>
      </c>
      <c r="C292" s="35" t="s">
        <v>33</v>
      </c>
      <c r="D292" s="35" t="s">
        <v>40</v>
      </c>
      <c r="E292" s="35" t="s">
        <v>25</v>
      </c>
      <c r="F292" s="35" t="s">
        <v>25</v>
      </c>
      <c r="G292" s="35" t="s">
        <v>25</v>
      </c>
      <c r="H292" s="35" t="s">
        <v>39</v>
      </c>
      <c r="I292" s="54">
        <v>44531</v>
      </c>
      <c r="J292" s="55">
        <f>EFEITO!$J$292*EFEITO!$Y$292</f>
        <v>0</v>
      </c>
      <c r="K292" s="55">
        <f ca="1">EFEITO!$L$292*EFEITO!$Z$292</f>
        <v>134.96422124004957</v>
      </c>
      <c r="L292" s="55">
        <f>EFEITO!$N$292*EFEITO!$AA$292</f>
        <v>15.509005328758597</v>
      </c>
      <c r="M292" s="55">
        <f>$J$292-EFEITO!$K$292*EFEITO!$Y$292</f>
        <v>0</v>
      </c>
      <c r="N292" s="55">
        <f ca="1">$K$292-EFEITO!$M$292*EFEITO!$Z$292</f>
        <v>0</v>
      </c>
      <c r="O292" s="55">
        <f>$L$292-EFEITO!$O$292*EFEITO!$AA$292</f>
        <v>0</v>
      </c>
      <c r="P292" s="39"/>
      <c r="Q292" s="39"/>
      <c r="R292" s="39"/>
      <c r="S292" s="39"/>
      <c r="T292" s="39"/>
      <c r="U292" s="39"/>
      <c r="V292" s="39"/>
      <c r="W292" s="39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35" t="s">
        <v>21</v>
      </c>
      <c r="B293" s="35" t="s">
        <v>35</v>
      </c>
      <c r="C293" s="35" t="s">
        <v>33</v>
      </c>
      <c r="D293" s="35" t="s">
        <v>40</v>
      </c>
      <c r="E293" s="35" t="s">
        <v>25</v>
      </c>
      <c r="F293" s="35" t="s">
        <v>25</v>
      </c>
      <c r="G293" s="35" t="s">
        <v>25</v>
      </c>
      <c r="H293" s="35" t="s">
        <v>39</v>
      </c>
      <c r="I293" s="54">
        <v>44562</v>
      </c>
      <c r="J293" s="55">
        <f>EFEITO!$J$293*EFEITO!$Y$293</f>
        <v>0</v>
      </c>
      <c r="K293" s="55">
        <f ca="1">EFEITO!$L$293*EFEITO!$Z$293</f>
        <v>226.39159691879283</v>
      </c>
      <c r="L293" s="55">
        <f>EFEITO!$N$293*EFEITO!$AA$293</f>
        <v>26.015105712756359</v>
      </c>
      <c r="M293" s="55">
        <f>$J$293-EFEITO!$K$293*EFEITO!$Y$293</f>
        <v>0</v>
      </c>
      <c r="N293" s="55">
        <f ca="1">$K$293-EFEITO!$M$293*EFEITO!$Z$293</f>
        <v>0</v>
      </c>
      <c r="O293" s="55">
        <f>$L$293-EFEITO!$O$293*EFEITO!$AA$293</f>
        <v>0</v>
      </c>
      <c r="P293" s="39"/>
      <c r="Q293" s="39"/>
      <c r="R293" s="39"/>
      <c r="S293" s="39"/>
      <c r="T293" s="39"/>
      <c r="U293" s="39"/>
      <c r="V293" s="39"/>
      <c r="W293" s="39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35" t="s">
        <v>21</v>
      </c>
      <c r="B294" s="35" t="s">
        <v>35</v>
      </c>
      <c r="C294" s="35" t="s">
        <v>33</v>
      </c>
      <c r="D294" s="35" t="s">
        <v>40</v>
      </c>
      <c r="E294" s="35" t="s">
        <v>25</v>
      </c>
      <c r="F294" s="35" t="s">
        <v>25</v>
      </c>
      <c r="G294" s="35" t="s">
        <v>25</v>
      </c>
      <c r="H294" s="35" t="s">
        <v>39</v>
      </c>
      <c r="I294" s="54">
        <v>44593</v>
      </c>
      <c r="J294" s="55">
        <f>EFEITO!$J$294*EFEITO!$Y$294</f>
        <v>0</v>
      </c>
      <c r="K294" s="55">
        <f ca="1">EFEITO!$L$294*EFEITO!$Z$294</f>
        <v>267.02598610934535</v>
      </c>
      <c r="L294" s="55">
        <f>EFEITO!$N$294*EFEITO!$AA$294</f>
        <v>30.684483661199806</v>
      </c>
      <c r="M294" s="55">
        <f>$J$294-EFEITO!$K$294*EFEITO!$Y$294</f>
        <v>0</v>
      </c>
      <c r="N294" s="55">
        <f ca="1">$K$294-EFEITO!$M$294*EFEITO!$Z$294</f>
        <v>0</v>
      </c>
      <c r="O294" s="55">
        <f>$L$294-EFEITO!$O$294*EFEITO!$AA$294</f>
        <v>0</v>
      </c>
      <c r="P294" s="39"/>
      <c r="Q294" s="39"/>
      <c r="R294" s="39"/>
      <c r="S294" s="39"/>
      <c r="T294" s="39"/>
      <c r="U294" s="39"/>
      <c r="V294" s="39"/>
      <c r="W294" s="39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35" t="s">
        <v>21</v>
      </c>
      <c r="B295" s="35" t="s">
        <v>35</v>
      </c>
      <c r="C295" s="35" t="s">
        <v>23</v>
      </c>
      <c r="D295" s="35" t="s">
        <v>40</v>
      </c>
      <c r="E295" s="35" t="s">
        <v>25</v>
      </c>
      <c r="F295" s="35" t="s">
        <v>25</v>
      </c>
      <c r="G295" s="35" t="s">
        <v>25</v>
      </c>
      <c r="H295" s="35" t="s">
        <v>25</v>
      </c>
      <c r="I295" s="54">
        <v>44440</v>
      </c>
      <c r="J295" s="55">
        <f>EFEITO!$J$295*EFEITO!$Y$295</f>
        <v>0</v>
      </c>
      <c r="K295" s="55">
        <f ca="1">EFEITO!$L$295*EFEITO!$Z$295</f>
        <v>73521.046869134356</v>
      </c>
      <c r="L295" s="55">
        <f>EFEITO!$N$295*EFEITO!$AA$295</f>
        <v>23611.710177293251</v>
      </c>
      <c r="M295" s="55">
        <f>$J$295-EFEITO!$K$295*EFEITO!$Y$295</f>
        <v>0</v>
      </c>
      <c r="N295" s="55">
        <f ca="1">$K$295-EFEITO!$M$295*EFEITO!$Z$295</f>
        <v>0</v>
      </c>
      <c r="O295" s="55">
        <f>$L$295-EFEITO!$O$295*EFEITO!$AA$295</f>
        <v>0</v>
      </c>
      <c r="P295" s="39"/>
      <c r="Q295" s="39"/>
      <c r="R295" s="39"/>
      <c r="S295" s="39"/>
      <c r="T295" s="39"/>
      <c r="U295" s="39"/>
      <c r="V295" s="39"/>
      <c r="W295" s="39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35" t="s">
        <v>28</v>
      </c>
      <c r="B296" s="35" t="s">
        <v>35</v>
      </c>
      <c r="C296" s="35" t="s">
        <v>23</v>
      </c>
      <c r="D296" s="35" t="s">
        <v>40</v>
      </c>
      <c r="E296" s="35" t="s">
        <v>25</v>
      </c>
      <c r="F296" s="35" t="s">
        <v>25</v>
      </c>
      <c r="G296" s="35" t="s">
        <v>25</v>
      </c>
      <c r="H296" s="35" t="s">
        <v>25</v>
      </c>
      <c r="I296" s="54">
        <v>44440</v>
      </c>
      <c r="J296" s="55">
        <f>EFEITO!$J$296*EFEITO!$Y$296</f>
        <v>0</v>
      </c>
      <c r="K296" s="55">
        <f ca="1">EFEITO!$L$296*EFEITO!$Z$296</f>
        <v>3423.4840665042434</v>
      </c>
      <c r="L296" s="55">
        <f>EFEITO!$N$296*EFEITO!$AA$296</f>
        <v>1099.4717433602734</v>
      </c>
      <c r="M296" s="55">
        <f>$J$296-EFEITO!$K$296*EFEITO!$Y$296</f>
        <v>0</v>
      </c>
      <c r="N296" s="55">
        <f ca="1">$K$296-EFEITO!$M$296*EFEITO!$Z$296</f>
        <v>0</v>
      </c>
      <c r="O296" s="55">
        <f>$L$296-EFEITO!$O$296*EFEITO!$AA$296</f>
        <v>0</v>
      </c>
      <c r="P296" s="39"/>
      <c r="Q296" s="39"/>
      <c r="R296" s="39"/>
      <c r="S296" s="39"/>
      <c r="T296" s="39"/>
      <c r="U296" s="39"/>
      <c r="V296" s="39"/>
      <c r="W296" s="39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35" t="s">
        <v>21</v>
      </c>
      <c r="B297" s="35" t="s">
        <v>35</v>
      </c>
      <c r="C297" s="35" t="s">
        <v>23</v>
      </c>
      <c r="D297" s="35" t="s">
        <v>40</v>
      </c>
      <c r="E297" s="35" t="s">
        <v>25</v>
      </c>
      <c r="F297" s="35" t="s">
        <v>25</v>
      </c>
      <c r="G297" s="35" t="s">
        <v>25</v>
      </c>
      <c r="H297" s="35" t="s">
        <v>25</v>
      </c>
      <c r="I297" s="54">
        <v>44470</v>
      </c>
      <c r="J297" s="55">
        <f>EFEITO!$J$297*EFEITO!$Y$297</f>
        <v>0</v>
      </c>
      <c r="K297" s="55">
        <f ca="1">EFEITO!$L$297*EFEITO!$Z$297</f>
        <v>77362.535588078434</v>
      </c>
      <c r="L297" s="55">
        <f>EFEITO!$N$297*EFEITO!$AA$297</f>
        <v>24845.426536671272</v>
      </c>
      <c r="M297" s="55">
        <f>$J$297-EFEITO!$K$297*EFEITO!$Y$297</f>
        <v>0</v>
      </c>
      <c r="N297" s="55">
        <f ca="1">$K$297-EFEITO!$M$297*EFEITO!$Z$297</f>
        <v>0</v>
      </c>
      <c r="O297" s="55">
        <f>$L$297-EFEITO!$O$297*EFEITO!$AA$297</f>
        <v>0</v>
      </c>
      <c r="P297" s="39"/>
      <c r="Q297" s="39"/>
      <c r="R297" s="39"/>
      <c r="S297" s="39"/>
      <c r="T297" s="39"/>
      <c r="U297" s="39"/>
      <c r="V297" s="39"/>
      <c r="W297" s="39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35" t="s">
        <v>27</v>
      </c>
      <c r="B298" s="35" t="s">
        <v>35</v>
      </c>
      <c r="C298" s="35" t="s">
        <v>23</v>
      </c>
      <c r="D298" s="35" t="s">
        <v>40</v>
      </c>
      <c r="E298" s="35" t="s">
        <v>25</v>
      </c>
      <c r="F298" s="35" t="s">
        <v>25</v>
      </c>
      <c r="G298" s="35" t="s">
        <v>25</v>
      </c>
      <c r="H298" s="35" t="s">
        <v>25</v>
      </c>
      <c r="I298" s="54">
        <v>44470</v>
      </c>
      <c r="J298" s="55">
        <f>EFEITO!$J$298*EFEITO!$Y$298</f>
        <v>0</v>
      </c>
      <c r="K298" s="55">
        <f ca="1">EFEITO!$L$298*EFEITO!$Z$298</f>
        <v>-2128.4485345974358</v>
      </c>
      <c r="L298" s="55">
        <f>EFEITO!$N$298*EFEITO!$AA$298</f>
        <v>-683.56357895248925</v>
      </c>
      <c r="M298" s="55">
        <f>$J$298-EFEITO!$K$298*EFEITO!$Y$298</f>
        <v>0</v>
      </c>
      <c r="N298" s="55">
        <f ca="1">$K$298-EFEITO!$M$298*EFEITO!$Z$298</f>
        <v>0</v>
      </c>
      <c r="O298" s="55">
        <f>$L$298-EFEITO!$O$298*EFEITO!$AA$298</f>
        <v>0</v>
      </c>
      <c r="P298" s="39"/>
      <c r="Q298" s="39"/>
      <c r="R298" s="39"/>
      <c r="S298" s="39"/>
      <c r="T298" s="39"/>
      <c r="U298" s="39"/>
      <c r="V298" s="39"/>
      <c r="W298" s="39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35" t="s">
        <v>28</v>
      </c>
      <c r="B299" s="35" t="s">
        <v>35</v>
      </c>
      <c r="C299" s="35" t="s">
        <v>23</v>
      </c>
      <c r="D299" s="35" t="s">
        <v>40</v>
      </c>
      <c r="E299" s="35" t="s">
        <v>25</v>
      </c>
      <c r="F299" s="35" t="s">
        <v>25</v>
      </c>
      <c r="G299" s="35" t="s">
        <v>25</v>
      </c>
      <c r="H299" s="35" t="s">
        <v>25</v>
      </c>
      <c r="I299" s="54">
        <v>44470</v>
      </c>
      <c r="J299" s="55">
        <f>EFEITO!$J$299*EFEITO!$Y$299</f>
        <v>0</v>
      </c>
      <c r="K299" s="55">
        <f ca="1">EFEITO!$L$299*EFEITO!$Z$299</f>
        <v>3709.5965677394684</v>
      </c>
      <c r="L299" s="55">
        <f>EFEITO!$N$299*EFEITO!$AA$299</f>
        <v>1191.3584308457143</v>
      </c>
      <c r="M299" s="55">
        <f>$J$299-EFEITO!$K$299*EFEITO!$Y$299</f>
        <v>0</v>
      </c>
      <c r="N299" s="55">
        <f ca="1">$K$299-EFEITO!$M$299*EFEITO!$Z$299</f>
        <v>0</v>
      </c>
      <c r="O299" s="55">
        <f>$L$299-EFEITO!$O$299*EFEITO!$AA$299</f>
        <v>0</v>
      </c>
      <c r="P299" s="39"/>
      <c r="Q299" s="39"/>
      <c r="R299" s="39"/>
      <c r="S299" s="39"/>
      <c r="T299" s="39"/>
      <c r="U299" s="39"/>
      <c r="V299" s="39"/>
      <c r="W299" s="39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35" t="s">
        <v>28</v>
      </c>
      <c r="B300" s="35" t="s">
        <v>35</v>
      </c>
      <c r="C300" s="35" t="s">
        <v>23</v>
      </c>
      <c r="D300" s="35" t="s">
        <v>40</v>
      </c>
      <c r="E300" s="35" t="s">
        <v>25</v>
      </c>
      <c r="F300" s="35" t="s">
        <v>25</v>
      </c>
      <c r="G300" s="35" t="s">
        <v>25</v>
      </c>
      <c r="H300" s="35" t="s">
        <v>25</v>
      </c>
      <c r="I300" s="54">
        <v>44470</v>
      </c>
      <c r="J300" s="55">
        <f>EFEITO!$J$300*EFEITO!$Y$300</f>
        <v>0</v>
      </c>
      <c r="K300" s="55">
        <f ca="1">EFEITO!$L$300*EFEITO!$Z$300</f>
        <v>-469.41143578338176</v>
      </c>
      <c r="L300" s="55">
        <f>EFEITO!$N$300*EFEITO!$AA$300</f>
        <v>-150.75420233545992</v>
      </c>
      <c r="M300" s="55">
        <f>$J$300-EFEITO!$K$300*EFEITO!$Y$300</f>
        <v>0</v>
      </c>
      <c r="N300" s="55">
        <f ca="1">$K$300-EFEITO!$M$300*EFEITO!$Z$300</f>
        <v>0</v>
      </c>
      <c r="O300" s="55">
        <f>$L$300-EFEITO!$O$300*EFEITO!$AA$300</f>
        <v>0</v>
      </c>
      <c r="P300" s="39"/>
      <c r="Q300" s="39"/>
      <c r="R300" s="39"/>
      <c r="S300" s="39"/>
      <c r="T300" s="39"/>
      <c r="U300" s="39"/>
      <c r="V300" s="39"/>
      <c r="W300" s="39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35" t="s">
        <v>21</v>
      </c>
      <c r="B301" s="35" t="s">
        <v>35</v>
      </c>
      <c r="C301" s="35" t="s">
        <v>23</v>
      </c>
      <c r="D301" s="35" t="s">
        <v>40</v>
      </c>
      <c r="E301" s="35" t="s">
        <v>25</v>
      </c>
      <c r="F301" s="35" t="s">
        <v>25</v>
      </c>
      <c r="G301" s="35" t="s">
        <v>25</v>
      </c>
      <c r="H301" s="35" t="s">
        <v>25</v>
      </c>
      <c r="I301" s="54">
        <v>44501</v>
      </c>
      <c r="J301" s="55">
        <f>EFEITO!$J$301*EFEITO!$Y$301</f>
        <v>0</v>
      </c>
      <c r="K301" s="55">
        <f ca="1">EFEITO!$L$301*EFEITO!$Z$301</f>
        <v>76894.162673170693</v>
      </c>
      <c r="L301" s="55">
        <f>EFEITO!$N$301*EFEITO!$AA$301</f>
        <v>24695.005861332131</v>
      </c>
      <c r="M301" s="55">
        <f>$J$301-EFEITO!$K$301*EFEITO!$Y$301</f>
        <v>0</v>
      </c>
      <c r="N301" s="55">
        <f ca="1">$K$301-EFEITO!$M$301*EFEITO!$Z$301</f>
        <v>0</v>
      </c>
      <c r="O301" s="55">
        <f>$L$301-EFEITO!$O$301*EFEITO!$AA$301</f>
        <v>0</v>
      </c>
      <c r="P301" s="39"/>
      <c r="Q301" s="39"/>
      <c r="R301" s="39"/>
      <c r="S301" s="39"/>
      <c r="T301" s="39"/>
      <c r="U301" s="39"/>
      <c r="V301" s="39"/>
      <c r="W301" s="39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35" t="s">
        <v>28</v>
      </c>
      <c r="B302" s="35" t="s">
        <v>35</v>
      </c>
      <c r="C302" s="35" t="s">
        <v>23</v>
      </c>
      <c r="D302" s="35" t="s">
        <v>40</v>
      </c>
      <c r="E302" s="35" t="s">
        <v>25</v>
      </c>
      <c r="F302" s="35" t="s">
        <v>25</v>
      </c>
      <c r="G302" s="35" t="s">
        <v>25</v>
      </c>
      <c r="H302" s="35" t="s">
        <v>25</v>
      </c>
      <c r="I302" s="54">
        <v>44501</v>
      </c>
      <c r="J302" s="55">
        <f>EFEITO!$J$302*EFEITO!$Y$302</f>
        <v>0</v>
      </c>
      <c r="K302" s="55">
        <f ca="1">EFEITO!$L$302*EFEITO!$Z$302</f>
        <v>2540.7413222213349</v>
      </c>
      <c r="L302" s="55">
        <f>EFEITO!$N$302*EFEITO!$AA$302</f>
        <v>815.97379649049265</v>
      </c>
      <c r="M302" s="55">
        <f>$J$302-EFEITO!$K$302*EFEITO!$Y$302</f>
        <v>0</v>
      </c>
      <c r="N302" s="55">
        <f ca="1">$K$302-EFEITO!$M$302*EFEITO!$Z$302</f>
        <v>0</v>
      </c>
      <c r="O302" s="55">
        <f>$L$302-EFEITO!$O$302*EFEITO!$AA$302</f>
        <v>0</v>
      </c>
      <c r="P302" s="39"/>
      <c r="Q302" s="39"/>
      <c r="R302" s="39"/>
      <c r="S302" s="39"/>
      <c r="T302" s="39"/>
      <c r="U302" s="39"/>
      <c r="V302" s="39"/>
      <c r="W302" s="39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35" t="s">
        <v>21</v>
      </c>
      <c r="B303" s="35" t="s">
        <v>35</v>
      </c>
      <c r="C303" s="35" t="s">
        <v>23</v>
      </c>
      <c r="D303" s="35" t="s">
        <v>40</v>
      </c>
      <c r="E303" s="35" t="s">
        <v>25</v>
      </c>
      <c r="F303" s="35" t="s">
        <v>25</v>
      </c>
      <c r="G303" s="35" t="s">
        <v>25</v>
      </c>
      <c r="H303" s="35" t="s">
        <v>25</v>
      </c>
      <c r="I303" s="54">
        <v>44531</v>
      </c>
      <c r="J303" s="55">
        <f>EFEITO!$J$303*EFEITO!$Y$303</f>
        <v>0</v>
      </c>
      <c r="K303" s="55">
        <f ca="1">EFEITO!$L$303*EFEITO!$Z$303</f>
        <v>80203.409443355966</v>
      </c>
      <c r="L303" s="55">
        <f>EFEITO!$N$303*EFEITO!$AA$303</f>
        <v>25757.789635097492</v>
      </c>
      <c r="M303" s="55">
        <f>$J$303-EFEITO!$K$303*EFEITO!$Y$303</f>
        <v>0</v>
      </c>
      <c r="N303" s="55">
        <f ca="1">$K$303-EFEITO!$M$303*EFEITO!$Z$303</f>
        <v>0</v>
      </c>
      <c r="O303" s="55">
        <f>$L$303-EFEITO!$O$303*EFEITO!$AA$303</f>
        <v>0</v>
      </c>
      <c r="P303" s="39"/>
      <c r="Q303" s="39"/>
      <c r="R303" s="39"/>
      <c r="S303" s="39"/>
      <c r="T303" s="39"/>
      <c r="U303" s="39"/>
      <c r="V303" s="39"/>
      <c r="W303" s="39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35" t="s">
        <v>28</v>
      </c>
      <c r="B304" s="35" t="s">
        <v>35</v>
      </c>
      <c r="C304" s="35" t="s">
        <v>23</v>
      </c>
      <c r="D304" s="35" t="s">
        <v>40</v>
      </c>
      <c r="E304" s="35" t="s">
        <v>25</v>
      </c>
      <c r="F304" s="35" t="s">
        <v>25</v>
      </c>
      <c r="G304" s="35" t="s">
        <v>25</v>
      </c>
      <c r="H304" s="35" t="s">
        <v>25</v>
      </c>
      <c r="I304" s="54">
        <v>44531</v>
      </c>
      <c r="J304" s="55">
        <f>EFEITO!$J$304*EFEITO!$Y$304</f>
        <v>0</v>
      </c>
      <c r="K304" s="55">
        <f ca="1">EFEITO!$L$304*EFEITO!$Z$304</f>
        <v>2482.5841531862256</v>
      </c>
      <c r="L304" s="55">
        <f>EFEITO!$N$304*EFEITO!$AA$304</f>
        <v>797.29628469671889</v>
      </c>
      <c r="M304" s="55">
        <f>$J$304-EFEITO!$K$304*EFEITO!$Y$304</f>
        <v>0</v>
      </c>
      <c r="N304" s="55">
        <f ca="1">$K$304-EFEITO!$M$304*EFEITO!$Z$304</f>
        <v>0</v>
      </c>
      <c r="O304" s="55">
        <f>$L$304-EFEITO!$O$304*EFEITO!$AA$304</f>
        <v>0</v>
      </c>
      <c r="P304" s="39"/>
      <c r="Q304" s="39"/>
      <c r="R304" s="39"/>
      <c r="S304" s="39"/>
      <c r="T304" s="39"/>
      <c r="U304" s="39"/>
      <c r="V304" s="39"/>
      <c r="W304" s="39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35" t="s">
        <v>21</v>
      </c>
      <c r="B305" s="35" t="s">
        <v>35</v>
      </c>
      <c r="C305" s="35" t="s">
        <v>23</v>
      </c>
      <c r="D305" s="35" t="s">
        <v>40</v>
      </c>
      <c r="E305" s="35" t="s">
        <v>25</v>
      </c>
      <c r="F305" s="35" t="s">
        <v>25</v>
      </c>
      <c r="G305" s="35" t="s">
        <v>25</v>
      </c>
      <c r="H305" s="35" t="s">
        <v>25</v>
      </c>
      <c r="I305" s="54">
        <v>44562</v>
      </c>
      <c r="J305" s="55">
        <f>EFEITO!$J$305*EFEITO!$Y$305</f>
        <v>0</v>
      </c>
      <c r="K305" s="55">
        <f ca="1">EFEITO!$L$305*EFEITO!$Z$305</f>
        <v>95314.407444165918</v>
      </c>
      <c r="L305" s="55">
        <f>EFEITO!$N$305*EFEITO!$AA$305</f>
        <v>30610.774195013662</v>
      </c>
      <c r="M305" s="55">
        <f>$J$305-EFEITO!$K$305*EFEITO!$Y$305</f>
        <v>0</v>
      </c>
      <c r="N305" s="55">
        <f ca="1">$K$305-EFEITO!$M$305*EFEITO!$Z$305</f>
        <v>0</v>
      </c>
      <c r="O305" s="55">
        <f>$L$305-EFEITO!$O$305*EFEITO!$AA$305</f>
        <v>0</v>
      </c>
      <c r="P305" s="39"/>
      <c r="Q305" s="39"/>
      <c r="R305" s="39"/>
      <c r="S305" s="39"/>
      <c r="T305" s="39"/>
      <c r="U305" s="39"/>
      <c r="V305" s="39"/>
      <c r="W305" s="39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35" t="s">
        <v>27</v>
      </c>
      <c r="B306" s="35" t="s">
        <v>35</v>
      </c>
      <c r="C306" s="35" t="s">
        <v>23</v>
      </c>
      <c r="D306" s="35" t="s">
        <v>40</v>
      </c>
      <c r="E306" s="35" t="s">
        <v>25</v>
      </c>
      <c r="F306" s="35" t="s">
        <v>25</v>
      </c>
      <c r="G306" s="35" t="s">
        <v>25</v>
      </c>
      <c r="H306" s="35" t="s">
        <v>25</v>
      </c>
      <c r="I306" s="54">
        <v>44562</v>
      </c>
      <c r="J306" s="55">
        <f>EFEITO!$J$306*EFEITO!$Y$306</f>
        <v>0</v>
      </c>
      <c r="K306" s="55">
        <f ca="1">EFEITO!$L$306*EFEITO!$Z$306</f>
        <v>1177.682672960962</v>
      </c>
      <c r="L306" s="55">
        <f>EFEITO!$N$306*EFEITO!$AA$306</f>
        <v>378.2196138239193</v>
      </c>
      <c r="M306" s="55">
        <f>$J$306-EFEITO!$K$306*EFEITO!$Y$306</f>
        <v>0</v>
      </c>
      <c r="N306" s="55">
        <f ca="1">$K$306-EFEITO!$M$306*EFEITO!$Z$306</f>
        <v>0</v>
      </c>
      <c r="O306" s="55">
        <f>$L$306-EFEITO!$O$306*EFEITO!$AA$306</f>
        <v>0</v>
      </c>
      <c r="P306" s="39"/>
      <c r="Q306" s="39"/>
      <c r="R306" s="39"/>
      <c r="S306" s="39"/>
      <c r="T306" s="39"/>
      <c r="U306" s="39"/>
      <c r="V306" s="39"/>
      <c r="W306" s="39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35" t="s">
        <v>28</v>
      </c>
      <c r="B307" s="35" t="s">
        <v>35</v>
      </c>
      <c r="C307" s="35" t="s">
        <v>23</v>
      </c>
      <c r="D307" s="35" t="s">
        <v>40</v>
      </c>
      <c r="E307" s="35" t="s">
        <v>25</v>
      </c>
      <c r="F307" s="35" t="s">
        <v>25</v>
      </c>
      <c r="G307" s="35" t="s">
        <v>25</v>
      </c>
      <c r="H307" s="35" t="s">
        <v>25</v>
      </c>
      <c r="I307" s="54">
        <v>44562</v>
      </c>
      <c r="J307" s="55">
        <f>EFEITO!$J$307*EFEITO!$Y$307</f>
        <v>0</v>
      </c>
      <c r="K307" s="55">
        <f ca="1">EFEITO!$L$307*EFEITO!$Z$307</f>
        <v>773.17879190426493</v>
      </c>
      <c r="L307" s="55">
        <f>EFEITO!$N$307*EFEITO!$AA$307</f>
        <v>248.31084875829629</v>
      </c>
      <c r="M307" s="55">
        <f>$J$307-EFEITO!$K$307*EFEITO!$Y$307</f>
        <v>0</v>
      </c>
      <c r="N307" s="55">
        <f ca="1">$K$307-EFEITO!$M$307*EFEITO!$Z$307</f>
        <v>0</v>
      </c>
      <c r="O307" s="55">
        <f>$L$307-EFEITO!$O$307*EFEITO!$AA$307</f>
        <v>0</v>
      </c>
      <c r="P307" s="39"/>
      <c r="Q307" s="39"/>
      <c r="R307" s="39"/>
      <c r="S307" s="39"/>
      <c r="T307" s="39"/>
      <c r="U307" s="39"/>
      <c r="V307" s="39"/>
      <c r="W307" s="39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35" t="s">
        <v>21</v>
      </c>
      <c r="B308" s="35" t="s">
        <v>35</v>
      </c>
      <c r="C308" s="35" t="s">
        <v>23</v>
      </c>
      <c r="D308" s="35" t="s">
        <v>40</v>
      </c>
      <c r="E308" s="35" t="s">
        <v>25</v>
      </c>
      <c r="F308" s="35" t="s">
        <v>25</v>
      </c>
      <c r="G308" s="35" t="s">
        <v>25</v>
      </c>
      <c r="H308" s="35" t="s">
        <v>25</v>
      </c>
      <c r="I308" s="54">
        <v>44593</v>
      </c>
      <c r="J308" s="55">
        <f>EFEITO!$J$308*EFEITO!$Y$308</f>
        <v>0</v>
      </c>
      <c r="K308" s="55">
        <f ca="1">EFEITO!$L$308*EFEITO!$Z$308</f>
        <v>98938.326039666164</v>
      </c>
      <c r="L308" s="55">
        <f>EFEITO!$N$308*EFEITO!$AA$308</f>
        <v>31774.616648663196</v>
      </c>
      <c r="M308" s="55">
        <f>$J$308-EFEITO!$K$308*EFEITO!$Y$308</f>
        <v>0</v>
      </c>
      <c r="N308" s="55">
        <f ca="1">$K$308-EFEITO!$M$308*EFEITO!$Z$308</f>
        <v>0</v>
      </c>
      <c r="O308" s="55">
        <f>$L$308-EFEITO!$O$308*EFEITO!$AA$308</f>
        <v>0</v>
      </c>
      <c r="P308" s="39"/>
      <c r="Q308" s="39"/>
      <c r="R308" s="39"/>
      <c r="S308" s="39"/>
      <c r="T308" s="39"/>
      <c r="U308" s="39"/>
      <c r="V308" s="39"/>
      <c r="W308" s="39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35" t="s">
        <v>28</v>
      </c>
      <c r="B309" s="35" t="s">
        <v>35</v>
      </c>
      <c r="C309" s="35" t="s">
        <v>23</v>
      </c>
      <c r="D309" s="35" t="s">
        <v>40</v>
      </c>
      <c r="E309" s="35" t="s">
        <v>25</v>
      </c>
      <c r="F309" s="35" t="s">
        <v>25</v>
      </c>
      <c r="G309" s="35" t="s">
        <v>25</v>
      </c>
      <c r="H309" s="35" t="s">
        <v>25</v>
      </c>
      <c r="I309" s="54">
        <v>44593</v>
      </c>
      <c r="J309" s="55">
        <f>EFEITO!$J$309*EFEITO!$Y$309</f>
        <v>0</v>
      </c>
      <c r="K309" s="55">
        <f ca="1">EFEITO!$L$309*EFEITO!$Z$309</f>
        <v>1692.2697668341164</v>
      </c>
      <c r="L309" s="55">
        <f>EFEITO!$N$309*EFEITO!$AA$309</f>
        <v>543.48224049918565</v>
      </c>
      <c r="M309" s="55">
        <f>$J$309-EFEITO!$K$309*EFEITO!$Y$309</f>
        <v>0</v>
      </c>
      <c r="N309" s="55">
        <f ca="1">$K$309-EFEITO!$M$309*EFEITO!$Z$309</f>
        <v>0</v>
      </c>
      <c r="O309" s="55">
        <f>$L$309-EFEITO!$O$309*EFEITO!$AA$309</f>
        <v>0</v>
      </c>
      <c r="P309" s="39"/>
      <c r="Q309" s="39"/>
      <c r="R309" s="39"/>
      <c r="S309" s="39"/>
      <c r="T309" s="39"/>
      <c r="U309" s="39"/>
      <c r="V309" s="39"/>
      <c r="W309" s="39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35" t="s">
        <v>21</v>
      </c>
      <c r="B310" s="35" t="s">
        <v>35</v>
      </c>
      <c r="C310" s="35" t="s">
        <v>23</v>
      </c>
      <c r="D310" s="35" t="s">
        <v>40</v>
      </c>
      <c r="E310" s="35" t="s">
        <v>25</v>
      </c>
      <c r="F310" s="35" t="s">
        <v>25</v>
      </c>
      <c r="G310" s="35" t="s">
        <v>25</v>
      </c>
      <c r="H310" s="35" t="s">
        <v>25</v>
      </c>
      <c r="I310" s="54">
        <v>44621</v>
      </c>
      <c r="J310" s="55">
        <f>EFEITO!$J$310*EFEITO!$Y$310</f>
        <v>0</v>
      </c>
      <c r="K310" s="55">
        <f ca="1">EFEITO!$L$310*EFEITO!$Z$310</f>
        <v>90400.645921136995</v>
      </c>
      <c r="L310" s="55">
        <f>EFEITO!$N$310*EFEITO!$AA$310</f>
        <v>29032.691211937938</v>
      </c>
      <c r="M310" s="55">
        <f>$J$310-EFEITO!$K$310*EFEITO!$Y$310</f>
        <v>0</v>
      </c>
      <c r="N310" s="55">
        <f ca="1">$K$310-EFEITO!$M$310*EFEITO!$Z$310</f>
        <v>0</v>
      </c>
      <c r="O310" s="55">
        <f>$L$310-EFEITO!$O$310*EFEITO!$AA$310</f>
        <v>0</v>
      </c>
      <c r="P310" s="39"/>
      <c r="Q310" s="39"/>
      <c r="R310" s="39"/>
      <c r="S310" s="39"/>
      <c r="T310" s="39"/>
      <c r="U310" s="39"/>
      <c r="V310" s="39"/>
      <c r="W310" s="39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35" t="s">
        <v>27</v>
      </c>
      <c r="B311" s="35" t="s">
        <v>35</v>
      </c>
      <c r="C311" s="35" t="s">
        <v>23</v>
      </c>
      <c r="D311" s="35" t="s">
        <v>40</v>
      </c>
      <c r="E311" s="35" t="s">
        <v>25</v>
      </c>
      <c r="F311" s="35" t="s">
        <v>25</v>
      </c>
      <c r="G311" s="35" t="s">
        <v>25</v>
      </c>
      <c r="H311" s="35" t="s">
        <v>25</v>
      </c>
      <c r="I311" s="54">
        <v>44621</v>
      </c>
      <c r="J311" s="55">
        <f>EFEITO!$J$311*EFEITO!$Y$311</f>
        <v>0</v>
      </c>
      <c r="K311" s="55">
        <f ca="1">EFEITO!$L$311*EFEITO!$Z$311</f>
        <v>315.19108575277954</v>
      </c>
      <c r="L311" s="55">
        <f>EFEITO!$N$311*EFEITO!$AA$311</f>
        <v>101.22544338232763</v>
      </c>
      <c r="M311" s="55">
        <f>$J$311-EFEITO!$K$311*EFEITO!$Y$311</f>
        <v>0</v>
      </c>
      <c r="N311" s="55">
        <f ca="1">$K$311-EFEITO!$M$311*EFEITO!$Z$311</f>
        <v>0</v>
      </c>
      <c r="O311" s="55">
        <f>$L$311-EFEITO!$O$311*EFEITO!$AA$311</f>
        <v>0</v>
      </c>
      <c r="P311" s="39"/>
      <c r="Q311" s="39"/>
      <c r="R311" s="39"/>
      <c r="S311" s="39"/>
      <c r="T311" s="39"/>
      <c r="U311" s="39"/>
      <c r="V311" s="39"/>
      <c r="W311" s="39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35" t="s">
        <v>28</v>
      </c>
      <c r="B312" s="35" t="s">
        <v>35</v>
      </c>
      <c r="C312" s="35" t="s">
        <v>23</v>
      </c>
      <c r="D312" s="35" t="s">
        <v>40</v>
      </c>
      <c r="E312" s="35" t="s">
        <v>25</v>
      </c>
      <c r="F312" s="35" t="s">
        <v>25</v>
      </c>
      <c r="G312" s="35" t="s">
        <v>25</v>
      </c>
      <c r="H312" s="35" t="s">
        <v>25</v>
      </c>
      <c r="I312" s="54">
        <v>44621</v>
      </c>
      <c r="J312" s="55">
        <f>EFEITO!$J$312*EFEITO!$Y$312</f>
        <v>0</v>
      </c>
      <c r="K312" s="55">
        <f ca="1">EFEITO!$L$312*EFEITO!$Z$312</f>
        <v>1768.0817907548835</v>
      </c>
      <c r="L312" s="55">
        <f>EFEITO!$N$312*EFEITO!$AA$312</f>
        <v>567.82971123035509</v>
      </c>
      <c r="M312" s="55">
        <f>$J$312-EFEITO!$K$312*EFEITO!$Y$312</f>
        <v>0</v>
      </c>
      <c r="N312" s="55">
        <f ca="1">$K$312-EFEITO!$M$312*EFEITO!$Z$312</f>
        <v>0</v>
      </c>
      <c r="O312" s="55">
        <f>$L$312-EFEITO!$O$312*EFEITO!$AA$312</f>
        <v>0</v>
      </c>
      <c r="P312" s="39"/>
      <c r="Q312" s="39"/>
      <c r="R312" s="39"/>
      <c r="S312" s="39"/>
      <c r="T312" s="39"/>
      <c r="U312" s="39"/>
      <c r="V312" s="39"/>
      <c r="W312" s="39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35" t="s">
        <v>21</v>
      </c>
      <c r="B313" s="35" t="s">
        <v>35</v>
      </c>
      <c r="C313" s="35" t="s">
        <v>23</v>
      </c>
      <c r="D313" s="35" t="s">
        <v>40</v>
      </c>
      <c r="E313" s="35" t="s">
        <v>25</v>
      </c>
      <c r="F313" s="35" t="s">
        <v>25</v>
      </c>
      <c r="G313" s="35" t="s">
        <v>25</v>
      </c>
      <c r="H313" s="35" t="s">
        <v>25</v>
      </c>
      <c r="I313" s="54">
        <v>44652</v>
      </c>
      <c r="J313" s="55">
        <f>EFEITO!$J$313*EFEITO!$Y$313</f>
        <v>0</v>
      </c>
      <c r="K313" s="55">
        <f ca="1">EFEITO!$L$313*EFEITO!$Z$313</f>
        <v>79258.355446535439</v>
      </c>
      <c r="L313" s="55">
        <f>EFEITO!$N$313*EFEITO!$AA$313</f>
        <v>25454.280068448668</v>
      </c>
      <c r="M313" s="55">
        <f>$J$313-EFEITO!$K$313*EFEITO!$Y$313</f>
        <v>0</v>
      </c>
      <c r="N313" s="55">
        <f ca="1">$K$313-EFEITO!$M$313*EFEITO!$Z$313</f>
        <v>0</v>
      </c>
      <c r="O313" s="55">
        <f>$L$313-EFEITO!$O$313*EFEITO!$AA$313</f>
        <v>0</v>
      </c>
      <c r="P313" s="39"/>
      <c r="Q313" s="39"/>
      <c r="R313" s="39"/>
      <c r="S313" s="39"/>
      <c r="T313" s="39"/>
      <c r="U313" s="39"/>
      <c r="V313" s="39"/>
      <c r="W313" s="39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35" t="s">
        <v>28</v>
      </c>
      <c r="B314" s="35" t="s">
        <v>35</v>
      </c>
      <c r="C314" s="35" t="s">
        <v>23</v>
      </c>
      <c r="D314" s="35" t="s">
        <v>40</v>
      </c>
      <c r="E314" s="35" t="s">
        <v>25</v>
      </c>
      <c r="F314" s="35" t="s">
        <v>25</v>
      </c>
      <c r="G314" s="35" t="s">
        <v>25</v>
      </c>
      <c r="H314" s="35" t="s">
        <v>25</v>
      </c>
      <c r="I314" s="54">
        <v>44652</v>
      </c>
      <c r="J314" s="55">
        <f>EFEITO!$J$314*EFEITO!$Y$314</f>
        <v>0</v>
      </c>
      <c r="K314" s="55">
        <f ca="1">EFEITO!$L$314*EFEITO!$Z$314</f>
        <v>3590.1666670423688</v>
      </c>
      <c r="L314" s="55">
        <f>EFEITO!$N$314*EFEITO!$AA$314</f>
        <v>1153.0028262692144</v>
      </c>
      <c r="M314" s="55">
        <f>$J$314-EFEITO!$K$314*EFEITO!$Y$314</f>
        <v>0</v>
      </c>
      <c r="N314" s="55">
        <f ca="1">$K$314-EFEITO!$M$314*EFEITO!$Z$314</f>
        <v>0</v>
      </c>
      <c r="O314" s="55">
        <f>$L$314-EFEITO!$O$314*EFEITO!$AA$314</f>
        <v>0</v>
      </c>
      <c r="P314" s="39"/>
      <c r="Q314" s="39"/>
      <c r="R314" s="39"/>
      <c r="S314" s="39"/>
      <c r="T314" s="39"/>
      <c r="U314" s="39"/>
      <c r="V314" s="39"/>
      <c r="W314" s="39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35" t="s">
        <v>21</v>
      </c>
      <c r="B315" s="35" t="s">
        <v>35</v>
      </c>
      <c r="C315" s="35" t="s">
        <v>23</v>
      </c>
      <c r="D315" s="35" t="s">
        <v>40</v>
      </c>
      <c r="E315" s="35" t="s">
        <v>25</v>
      </c>
      <c r="F315" s="35" t="s">
        <v>25</v>
      </c>
      <c r="G315" s="35" t="s">
        <v>25</v>
      </c>
      <c r="H315" s="35" t="s">
        <v>25</v>
      </c>
      <c r="I315" s="54">
        <v>44682</v>
      </c>
      <c r="J315" s="55">
        <f>EFEITO!$J$315*EFEITO!$Y$315</f>
        <v>0</v>
      </c>
      <c r="K315" s="55">
        <f ca="1">EFEITO!$L$315*EFEITO!$Z$315</f>
        <v>74160.775728520559</v>
      </c>
      <c r="L315" s="55">
        <f>EFEITO!$N$315*EFEITO!$AA$315</f>
        <v>23817.162807024761</v>
      </c>
      <c r="M315" s="55">
        <f>$J$315-EFEITO!$K$315*EFEITO!$Y$315</f>
        <v>0</v>
      </c>
      <c r="N315" s="55">
        <f ca="1">$K$315-EFEITO!$M$315*EFEITO!$Z$315</f>
        <v>0</v>
      </c>
      <c r="O315" s="55">
        <f>$L$315-EFEITO!$O$315*EFEITO!$AA$315</f>
        <v>0</v>
      </c>
      <c r="P315" s="39"/>
      <c r="Q315" s="39"/>
      <c r="R315" s="39"/>
      <c r="S315" s="39"/>
      <c r="T315" s="39"/>
      <c r="U315" s="39"/>
      <c r="V315" s="39"/>
      <c r="W315" s="39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35" t="s">
        <v>28</v>
      </c>
      <c r="B316" s="35" t="s">
        <v>35</v>
      </c>
      <c r="C316" s="35" t="s">
        <v>23</v>
      </c>
      <c r="D316" s="35" t="s">
        <v>40</v>
      </c>
      <c r="E316" s="35" t="s">
        <v>25</v>
      </c>
      <c r="F316" s="35" t="s">
        <v>25</v>
      </c>
      <c r="G316" s="35" t="s">
        <v>25</v>
      </c>
      <c r="H316" s="35" t="s">
        <v>25</v>
      </c>
      <c r="I316" s="54">
        <v>44682</v>
      </c>
      <c r="J316" s="55">
        <f>EFEITO!$J$316*EFEITO!$Y$316</f>
        <v>0</v>
      </c>
      <c r="K316" s="55">
        <f ca="1">EFEITO!$L$316*EFEITO!$Z$316</f>
        <v>2580.7243759329726</v>
      </c>
      <c r="L316" s="55">
        <f>EFEITO!$N$316*EFEITO!$AA$316</f>
        <v>828.81458584871211</v>
      </c>
      <c r="M316" s="55">
        <f>$J$316-EFEITO!$K$316*EFEITO!$Y$316</f>
        <v>0</v>
      </c>
      <c r="N316" s="55">
        <f ca="1">$K$316-EFEITO!$M$316*EFEITO!$Z$316</f>
        <v>0</v>
      </c>
      <c r="O316" s="55">
        <f>$L$316-EFEITO!$O$316*EFEITO!$AA$316</f>
        <v>0</v>
      </c>
      <c r="P316" s="39"/>
      <c r="Q316" s="39"/>
      <c r="R316" s="39"/>
      <c r="S316" s="39"/>
      <c r="T316" s="39"/>
      <c r="U316" s="39"/>
      <c r="V316" s="39"/>
      <c r="W316" s="39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35" t="s">
        <v>21</v>
      </c>
      <c r="B317" s="35" t="s">
        <v>35</v>
      </c>
      <c r="C317" s="35" t="s">
        <v>23</v>
      </c>
      <c r="D317" s="35" t="s">
        <v>40</v>
      </c>
      <c r="E317" s="35" t="s">
        <v>25</v>
      </c>
      <c r="F317" s="35" t="s">
        <v>25</v>
      </c>
      <c r="G317" s="35" t="s">
        <v>25</v>
      </c>
      <c r="H317" s="35" t="s">
        <v>25</v>
      </c>
      <c r="I317" s="54">
        <v>44713</v>
      </c>
      <c r="J317" s="55">
        <f>EFEITO!$J$317*EFEITO!$Y$317</f>
        <v>0</v>
      </c>
      <c r="K317" s="55">
        <f ca="1">EFEITO!$L$317*EFEITO!$Z$317</f>
        <v>73637.880467642375</v>
      </c>
      <c r="L317" s="55">
        <f>EFEITO!$N$317*EFEITO!$AA$317</f>
        <v>23649.231964378956</v>
      </c>
      <c r="M317" s="55">
        <f>$J$317-EFEITO!$K$317*EFEITO!$Y$317</f>
        <v>0</v>
      </c>
      <c r="N317" s="55">
        <f ca="1">$K$317-EFEITO!$M$317*EFEITO!$Z$317</f>
        <v>0</v>
      </c>
      <c r="O317" s="55">
        <f>$L$317-EFEITO!$O$317*EFEITO!$AA$317</f>
        <v>0</v>
      </c>
      <c r="P317" s="39"/>
      <c r="Q317" s="39"/>
      <c r="R317" s="39"/>
      <c r="S317" s="39"/>
      <c r="T317" s="39"/>
      <c r="U317" s="39"/>
      <c r="V317" s="39"/>
      <c r="W317" s="39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35" t="s">
        <v>21</v>
      </c>
      <c r="B318" s="35" t="s">
        <v>35</v>
      </c>
      <c r="C318" s="35" t="s">
        <v>23</v>
      </c>
      <c r="D318" s="35" t="s">
        <v>40</v>
      </c>
      <c r="E318" s="35" t="s">
        <v>25</v>
      </c>
      <c r="F318" s="35" t="s">
        <v>25</v>
      </c>
      <c r="G318" s="35" t="s">
        <v>25</v>
      </c>
      <c r="H318" s="35" t="s">
        <v>25</v>
      </c>
      <c r="I318" s="54">
        <v>44743</v>
      </c>
      <c r="J318" s="55">
        <f>EFEITO!$J$318*EFEITO!$Y$318</f>
        <v>0</v>
      </c>
      <c r="K318" s="55">
        <f ca="1">EFEITO!$L$318*EFEITO!$Z$318</f>
        <v>61352.178508975558</v>
      </c>
      <c r="L318" s="55">
        <f>EFEITO!$N$318*EFEITO!$AA$318</f>
        <v>19703.607597944243</v>
      </c>
      <c r="M318" s="55">
        <f>$J$318-EFEITO!$K$318*EFEITO!$Y$318</f>
        <v>0</v>
      </c>
      <c r="N318" s="55">
        <f ca="1">$K$318-EFEITO!$M$318*EFEITO!$Z$318</f>
        <v>0</v>
      </c>
      <c r="O318" s="55">
        <f>$L$318-EFEITO!$O$318*EFEITO!$AA$318</f>
        <v>0</v>
      </c>
      <c r="P318" s="39"/>
      <c r="Q318" s="39"/>
      <c r="R318" s="39"/>
      <c r="S318" s="39"/>
      <c r="T318" s="39"/>
      <c r="U318" s="39"/>
      <c r="V318" s="39"/>
      <c r="W318" s="39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35" t="s">
        <v>28</v>
      </c>
      <c r="B319" s="35" t="s">
        <v>35</v>
      </c>
      <c r="C319" s="35" t="s">
        <v>23</v>
      </c>
      <c r="D319" s="35" t="s">
        <v>40</v>
      </c>
      <c r="E319" s="35" t="s">
        <v>25</v>
      </c>
      <c r="F319" s="35" t="s">
        <v>25</v>
      </c>
      <c r="G319" s="35" t="s">
        <v>25</v>
      </c>
      <c r="H319" s="35" t="s">
        <v>25</v>
      </c>
      <c r="I319" s="54">
        <v>44743</v>
      </c>
      <c r="J319" s="55">
        <f>EFEITO!$J$319*EFEITO!$Y$319</f>
        <v>0</v>
      </c>
      <c r="K319" s="55">
        <f ca="1">EFEITO!$L$319*EFEITO!$Z$319</f>
        <v>2536.5872387188274</v>
      </c>
      <c r="L319" s="55">
        <f>EFEITO!$N$319*EFEITO!$AA$319</f>
        <v>814.63968850522315</v>
      </c>
      <c r="M319" s="55">
        <f>$J$319-EFEITO!$K$319*EFEITO!$Y$319</f>
        <v>0</v>
      </c>
      <c r="N319" s="55">
        <f ca="1">$K$319-EFEITO!$M$319*EFEITO!$Z$319</f>
        <v>0</v>
      </c>
      <c r="O319" s="55">
        <f>$L$319-EFEITO!$O$319*EFEITO!$AA$319</f>
        <v>0</v>
      </c>
      <c r="P319" s="39"/>
      <c r="Q319" s="39"/>
      <c r="R319" s="39"/>
      <c r="S319" s="39"/>
      <c r="T319" s="39"/>
      <c r="U319" s="39"/>
      <c r="V319" s="39"/>
      <c r="W319" s="39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35" t="s">
        <v>21</v>
      </c>
      <c r="B320" s="35" t="s">
        <v>35</v>
      </c>
      <c r="C320" s="35" t="s">
        <v>23</v>
      </c>
      <c r="D320" s="35" t="s">
        <v>40</v>
      </c>
      <c r="E320" s="35" t="s">
        <v>25</v>
      </c>
      <c r="F320" s="35" t="s">
        <v>25</v>
      </c>
      <c r="G320" s="35" t="s">
        <v>25</v>
      </c>
      <c r="H320" s="35" t="s">
        <v>25</v>
      </c>
      <c r="I320" s="54">
        <v>44774</v>
      </c>
      <c r="J320" s="55">
        <f>EFEITO!$J$320*EFEITO!$Y$320</f>
        <v>0</v>
      </c>
      <c r="K320" s="55">
        <f ca="1">EFEITO!$L$320*EFEITO!$Z$320</f>
        <v>68666.481036016179</v>
      </c>
      <c r="L320" s="55">
        <f>EFEITO!$N$320*EFEITO!$AA$320</f>
        <v>22052.638233007616</v>
      </c>
      <c r="M320" s="55">
        <f>$J$320-EFEITO!$K$320*EFEITO!$Y$320</f>
        <v>0</v>
      </c>
      <c r="N320" s="55">
        <f ca="1">$K$320-EFEITO!$M$320*EFEITO!$Z$320</f>
        <v>0</v>
      </c>
      <c r="O320" s="55">
        <f>$L$320-EFEITO!$O$320*EFEITO!$AA$320</f>
        <v>0</v>
      </c>
      <c r="P320" s="39"/>
      <c r="Q320" s="39"/>
      <c r="R320" s="39"/>
      <c r="S320" s="39"/>
      <c r="T320" s="39"/>
      <c r="U320" s="39"/>
      <c r="V320" s="39"/>
      <c r="W320" s="39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35" t="s">
        <v>27</v>
      </c>
      <c r="B321" s="35" t="s">
        <v>35</v>
      </c>
      <c r="C321" s="35" t="s">
        <v>23</v>
      </c>
      <c r="D321" s="35" t="s">
        <v>40</v>
      </c>
      <c r="E321" s="35" t="s">
        <v>25</v>
      </c>
      <c r="F321" s="35" t="s">
        <v>25</v>
      </c>
      <c r="G321" s="35" t="s">
        <v>25</v>
      </c>
      <c r="H321" s="35" t="s">
        <v>25</v>
      </c>
      <c r="I321" s="54">
        <v>44774</v>
      </c>
      <c r="J321" s="55">
        <f>EFEITO!$J$321*EFEITO!$Y$321</f>
        <v>0</v>
      </c>
      <c r="K321" s="55">
        <f ca="1">EFEITO!$L$321*EFEITO!$Z$321</f>
        <v>-116.3143380702185</v>
      </c>
      <c r="L321" s="55">
        <f>EFEITO!$N$321*EFEITO!$AA$321</f>
        <v>-37.355023587547592</v>
      </c>
      <c r="M321" s="55">
        <f>$J$321-EFEITO!$K$321*EFEITO!$Y$321</f>
        <v>0</v>
      </c>
      <c r="N321" s="55">
        <f ca="1">$K$321-EFEITO!$M$321*EFEITO!$Z$321</f>
        <v>0</v>
      </c>
      <c r="O321" s="55">
        <f>$L$321-EFEITO!$O$321*EFEITO!$AA$321</f>
        <v>0</v>
      </c>
      <c r="P321" s="39"/>
      <c r="Q321" s="39"/>
      <c r="R321" s="39"/>
      <c r="S321" s="39"/>
      <c r="T321" s="39"/>
      <c r="U321" s="39"/>
      <c r="V321" s="39"/>
      <c r="W321" s="39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35" t="s">
        <v>28</v>
      </c>
      <c r="B322" s="35" t="s">
        <v>35</v>
      </c>
      <c r="C322" s="35" t="s">
        <v>23</v>
      </c>
      <c r="D322" s="35" t="s">
        <v>40</v>
      </c>
      <c r="E322" s="35" t="s">
        <v>25</v>
      </c>
      <c r="F322" s="35" t="s">
        <v>25</v>
      </c>
      <c r="G322" s="35" t="s">
        <v>25</v>
      </c>
      <c r="H322" s="35" t="s">
        <v>25</v>
      </c>
      <c r="I322" s="54">
        <v>44774</v>
      </c>
      <c r="J322" s="55">
        <f>EFEITO!$J$322*EFEITO!$Y$322</f>
        <v>0</v>
      </c>
      <c r="K322" s="55">
        <f ca="1">EFEITO!$L$322*EFEITO!$Z$322</f>
        <v>2546.9724474750969</v>
      </c>
      <c r="L322" s="55">
        <f>EFEITO!$N$322*EFEITO!$AA$322</f>
        <v>817.97495846839706</v>
      </c>
      <c r="M322" s="55">
        <f>$J$322-EFEITO!$K$322*EFEITO!$Y$322</f>
        <v>0</v>
      </c>
      <c r="N322" s="55">
        <f ca="1">$K$322-EFEITO!$M$322*EFEITO!$Z$322</f>
        <v>0</v>
      </c>
      <c r="O322" s="55">
        <f>$L$322-EFEITO!$O$322*EFEITO!$AA$322</f>
        <v>0</v>
      </c>
      <c r="P322" s="39"/>
      <c r="Q322" s="39"/>
      <c r="R322" s="39"/>
      <c r="S322" s="39"/>
      <c r="T322" s="39"/>
      <c r="U322" s="39"/>
      <c r="V322" s="39"/>
      <c r="W322" s="39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35" t="s">
        <v>21</v>
      </c>
      <c r="B323" s="35" t="s">
        <v>35</v>
      </c>
      <c r="C323" s="35" t="s">
        <v>23</v>
      </c>
      <c r="D323" s="35" t="s">
        <v>52</v>
      </c>
      <c r="E323" s="35" t="s">
        <v>25</v>
      </c>
      <c r="F323" s="35" t="s">
        <v>25</v>
      </c>
      <c r="G323" s="35" t="s">
        <v>25</v>
      </c>
      <c r="H323" s="35" t="s">
        <v>25</v>
      </c>
      <c r="I323" s="54">
        <v>44440</v>
      </c>
      <c r="J323" s="55">
        <f>EFEITO!$J$323*EFEITO!$Y$323</f>
        <v>0</v>
      </c>
      <c r="K323" s="55">
        <f ca="1">EFEITO!$L$323*EFEITO!$Z$323</f>
        <v>273.65025072770152</v>
      </c>
      <c r="L323" s="55">
        <f>EFEITO!$N$323*EFEITO!$AA$323</f>
        <v>87.884363529632054</v>
      </c>
      <c r="M323" s="55">
        <f>$J$323-EFEITO!$K$323*EFEITO!$Y$323</f>
        <v>0</v>
      </c>
      <c r="N323" s="55">
        <f ca="1">$K$323-EFEITO!$M$323*EFEITO!$Z$323</f>
        <v>0</v>
      </c>
      <c r="O323" s="55">
        <f>$L$323-EFEITO!$O$323*EFEITO!$AA$323</f>
        <v>0</v>
      </c>
      <c r="P323" s="39"/>
      <c r="Q323" s="39"/>
      <c r="R323" s="39"/>
      <c r="S323" s="39"/>
      <c r="T323" s="39"/>
      <c r="U323" s="39"/>
      <c r="V323" s="39"/>
      <c r="W323" s="39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35" t="s">
        <v>21</v>
      </c>
      <c r="B324" s="35" t="s">
        <v>35</v>
      </c>
      <c r="C324" s="35" t="s">
        <v>23</v>
      </c>
      <c r="D324" s="35" t="s">
        <v>52</v>
      </c>
      <c r="E324" s="35" t="s">
        <v>25</v>
      </c>
      <c r="F324" s="35" t="s">
        <v>25</v>
      </c>
      <c r="G324" s="35" t="s">
        <v>25</v>
      </c>
      <c r="H324" s="35" t="s">
        <v>25</v>
      </c>
      <c r="I324" s="54">
        <v>44470</v>
      </c>
      <c r="J324" s="55">
        <f>EFEITO!$J$324*EFEITO!$Y$324</f>
        <v>0</v>
      </c>
      <c r="K324" s="55">
        <f ca="1">EFEITO!$L$324*EFEITO!$Z$324</f>
        <v>261.70726065799158</v>
      </c>
      <c r="L324" s="55">
        <f>EFEITO!$N$324*EFEITO!$AA$324</f>
        <v>84.048803071982078</v>
      </c>
      <c r="M324" s="55">
        <f>$J$324-EFEITO!$K$324*EFEITO!$Y$324</f>
        <v>0</v>
      </c>
      <c r="N324" s="55">
        <f ca="1">$K$324-EFEITO!$M$324*EFEITO!$Z$324</f>
        <v>0</v>
      </c>
      <c r="O324" s="55">
        <f>$L$324-EFEITO!$O$324*EFEITO!$AA$324</f>
        <v>0</v>
      </c>
      <c r="P324" s="39"/>
      <c r="Q324" s="39"/>
      <c r="R324" s="39"/>
      <c r="S324" s="39"/>
      <c r="T324" s="39"/>
      <c r="U324" s="39"/>
      <c r="V324" s="39"/>
      <c r="W324" s="39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35" t="s">
        <v>21</v>
      </c>
      <c r="B325" s="35" t="s">
        <v>35</v>
      </c>
      <c r="C325" s="35" t="s">
        <v>23</v>
      </c>
      <c r="D325" s="35" t="s">
        <v>52</v>
      </c>
      <c r="E325" s="35" t="s">
        <v>25</v>
      </c>
      <c r="F325" s="35" t="s">
        <v>25</v>
      </c>
      <c r="G325" s="35" t="s">
        <v>25</v>
      </c>
      <c r="H325" s="35" t="s">
        <v>25</v>
      </c>
      <c r="I325" s="54">
        <v>44501</v>
      </c>
      <c r="J325" s="55">
        <f>EFEITO!$J$325*EFEITO!$Y$325</f>
        <v>0</v>
      </c>
      <c r="K325" s="55">
        <f ca="1">EFEITO!$L$325*EFEITO!$Z$325</f>
        <v>253.91835409078945</v>
      </c>
      <c r="L325" s="55">
        <f>EFEITO!$N$325*EFEITO!$AA$325</f>
        <v>81.547350599601657</v>
      </c>
      <c r="M325" s="55">
        <f>$J$325-EFEITO!$K$325*EFEITO!$Y$325</f>
        <v>0</v>
      </c>
      <c r="N325" s="55">
        <f ca="1">$K$325-EFEITO!$M$325*EFEITO!$Z$325</f>
        <v>0</v>
      </c>
      <c r="O325" s="55">
        <f>$L$325-EFEITO!$O$325*EFEITO!$AA$325</f>
        <v>0</v>
      </c>
      <c r="P325" s="39"/>
      <c r="Q325" s="39"/>
      <c r="R325" s="39"/>
      <c r="S325" s="39"/>
      <c r="T325" s="39"/>
      <c r="U325" s="39"/>
      <c r="V325" s="39"/>
      <c r="W325" s="39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35" t="s">
        <v>21</v>
      </c>
      <c r="B326" s="35" t="s">
        <v>35</v>
      </c>
      <c r="C326" s="35" t="s">
        <v>23</v>
      </c>
      <c r="D326" s="35" t="s">
        <v>52</v>
      </c>
      <c r="E326" s="35" t="s">
        <v>25</v>
      </c>
      <c r="F326" s="35" t="s">
        <v>25</v>
      </c>
      <c r="G326" s="35" t="s">
        <v>25</v>
      </c>
      <c r="H326" s="35" t="s">
        <v>25</v>
      </c>
      <c r="I326" s="54">
        <v>44531</v>
      </c>
      <c r="J326" s="55">
        <f>EFEITO!$J$326*EFEITO!$Y$326</f>
        <v>0</v>
      </c>
      <c r="K326" s="55">
        <f ca="1">EFEITO!$L$326*EFEITO!$Z$326</f>
        <v>252.87983321516251</v>
      </c>
      <c r="L326" s="55">
        <f>EFEITO!$N$326*EFEITO!$AA$326</f>
        <v>81.213823603284268</v>
      </c>
      <c r="M326" s="55">
        <f>$J$326-EFEITO!$K$326*EFEITO!$Y$326</f>
        <v>0</v>
      </c>
      <c r="N326" s="55">
        <f ca="1">$K$326-EFEITO!$M$326*EFEITO!$Z$326</f>
        <v>0</v>
      </c>
      <c r="O326" s="55">
        <f>$L$326-EFEITO!$O$326*EFEITO!$AA$326</f>
        <v>0</v>
      </c>
      <c r="P326" s="39"/>
      <c r="Q326" s="39"/>
      <c r="R326" s="39"/>
      <c r="S326" s="39"/>
      <c r="T326" s="39"/>
      <c r="U326" s="39"/>
      <c r="V326" s="39"/>
      <c r="W326" s="39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35" t="s">
        <v>21</v>
      </c>
      <c r="B327" s="35" t="s">
        <v>35</v>
      </c>
      <c r="C327" s="35" t="s">
        <v>23</v>
      </c>
      <c r="D327" s="35" t="s">
        <v>52</v>
      </c>
      <c r="E327" s="35" t="s">
        <v>25</v>
      </c>
      <c r="F327" s="35" t="s">
        <v>25</v>
      </c>
      <c r="G327" s="35" t="s">
        <v>25</v>
      </c>
      <c r="H327" s="35" t="s">
        <v>25</v>
      </c>
      <c r="I327" s="54">
        <v>44562</v>
      </c>
      <c r="J327" s="55">
        <f>EFEITO!$J$327*EFEITO!$Y$327</f>
        <v>0</v>
      </c>
      <c r="K327" s="55">
        <f ca="1">EFEITO!$L$327*EFEITO!$Z$327</f>
        <v>384.77198441978527</v>
      </c>
      <c r="L327" s="55">
        <f>EFEITO!$N$327*EFEITO!$AA$327</f>
        <v>123.5717521355927</v>
      </c>
      <c r="M327" s="55">
        <f>$J$327-EFEITO!$K$327*EFEITO!$Y$327</f>
        <v>0</v>
      </c>
      <c r="N327" s="55">
        <f ca="1">$K$327-EFEITO!$M$327*EFEITO!$Z$327</f>
        <v>0</v>
      </c>
      <c r="O327" s="55">
        <f>$L$327-EFEITO!$O$327*EFEITO!$AA$327</f>
        <v>0</v>
      </c>
      <c r="P327" s="39"/>
      <c r="Q327" s="39"/>
      <c r="R327" s="39"/>
      <c r="S327" s="39"/>
      <c r="T327" s="39"/>
      <c r="U327" s="39"/>
      <c r="V327" s="39"/>
      <c r="W327" s="39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35" t="s">
        <v>21</v>
      </c>
      <c r="B328" s="35" t="s">
        <v>35</v>
      </c>
      <c r="C328" s="35" t="s">
        <v>23</v>
      </c>
      <c r="D328" s="35" t="s">
        <v>52</v>
      </c>
      <c r="E328" s="35" t="s">
        <v>25</v>
      </c>
      <c r="F328" s="35" t="s">
        <v>25</v>
      </c>
      <c r="G328" s="35" t="s">
        <v>25</v>
      </c>
      <c r="H328" s="35" t="s">
        <v>25</v>
      </c>
      <c r="I328" s="54">
        <v>44593</v>
      </c>
      <c r="J328" s="55">
        <f>EFEITO!$J$328*EFEITO!$Y$328</f>
        <v>0</v>
      </c>
      <c r="K328" s="55">
        <f ca="1">EFEITO!$L$328*EFEITO!$Z$328</f>
        <v>513.54857299752712</v>
      </c>
      <c r="L328" s="55">
        <f>EFEITO!$N$328*EFEITO!$AA$328</f>
        <v>164.92909967894897</v>
      </c>
      <c r="M328" s="55">
        <f>$J$328-EFEITO!$K$328*EFEITO!$Y$328</f>
        <v>0</v>
      </c>
      <c r="N328" s="55">
        <f ca="1">$K$328-EFEITO!$M$328*EFEITO!$Z$328</f>
        <v>0</v>
      </c>
      <c r="O328" s="55">
        <f>$L$328-EFEITO!$O$328*EFEITO!$AA$328</f>
        <v>0</v>
      </c>
      <c r="P328" s="39"/>
      <c r="Q328" s="39"/>
      <c r="R328" s="39"/>
      <c r="S328" s="39"/>
      <c r="T328" s="39"/>
      <c r="U328" s="39"/>
      <c r="V328" s="39"/>
      <c r="W328" s="39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35" t="s">
        <v>21</v>
      </c>
      <c r="B329" s="35" t="s">
        <v>35</v>
      </c>
      <c r="C329" s="35" t="s">
        <v>23</v>
      </c>
      <c r="D329" s="35" t="s">
        <v>52</v>
      </c>
      <c r="E329" s="35" t="s">
        <v>25</v>
      </c>
      <c r="F329" s="35" t="s">
        <v>25</v>
      </c>
      <c r="G329" s="35" t="s">
        <v>25</v>
      </c>
      <c r="H329" s="35" t="s">
        <v>25</v>
      </c>
      <c r="I329" s="54">
        <v>44621</v>
      </c>
      <c r="J329" s="55">
        <f>EFEITO!$J$329*EFEITO!$Y$329</f>
        <v>0</v>
      </c>
      <c r="K329" s="55">
        <f ca="1">EFEITO!$L$329*EFEITO!$Z$329</f>
        <v>409.17722499701864</v>
      </c>
      <c r="L329" s="55">
        <f>EFEITO!$N$329*EFEITO!$AA$329</f>
        <v>131.40963654905136</v>
      </c>
      <c r="M329" s="55">
        <f>$J$329-EFEITO!$K$329*EFEITO!$Y$329</f>
        <v>0</v>
      </c>
      <c r="N329" s="55">
        <f ca="1">$K$329-EFEITO!$M$329*EFEITO!$Z$329</f>
        <v>0</v>
      </c>
      <c r="O329" s="55">
        <f>$L$329-EFEITO!$O$329*EFEITO!$AA$329</f>
        <v>0</v>
      </c>
      <c r="P329" s="39"/>
      <c r="Q329" s="39"/>
      <c r="R329" s="39"/>
      <c r="S329" s="39"/>
      <c r="T329" s="39"/>
      <c r="U329" s="39"/>
      <c r="V329" s="39"/>
      <c r="W329" s="39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35" t="s">
        <v>21</v>
      </c>
      <c r="B330" s="35" t="s">
        <v>35</v>
      </c>
      <c r="C330" s="35" t="s">
        <v>23</v>
      </c>
      <c r="D330" s="35" t="s">
        <v>52</v>
      </c>
      <c r="E330" s="35" t="s">
        <v>25</v>
      </c>
      <c r="F330" s="35" t="s">
        <v>25</v>
      </c>
      <c r="G330" s="35" t="s">
        <v>25</v>
      </c>
      <c r="H330" s="35" t="s">
        <v>25</v>
      </c>
      <c r="I330" s="54">
        <v>44652</v>
      </c>
      <c r="J330" s="55">
        <f>EFEITO!$J$330*EFEITO!$Y$330</f>
        <v>0</v>
      </c>
      <c r="K330" s="55">
        <f ca="1">EFEITO!$L$330*EFEITO!$Z$330</f>
        <v>290.26658473773279</v>
      </c>
      <c r="L330" s="55">
        <f>EFEITO!$N$330*EFEITO!$AA$330</f>
        <v>93.220795470710286</v>
      </c>
      <c r="M330" s="55">
        <f>$J$330-EFEITO!$K$330*EFEITO!$Y$330</f>
        <v>0</v>
      </c>
      <c r="N330" s="55">
        <f ca="1">$K$330-EFEITO!$M$330*EFEITO!$Z$330</f>
        <v>0</v>
      </c>
      <c r="O330" s="55">
        <f>$L$330-EFEITO!$O$330*EFEITO!$AA$330</f>
        <v>0</v>
      </c>
      <c r="P330" s="39"/>
      <c r="Q330" s="39"/>
      <c r="R330" s="39"/>
      <c r="S330" s="39"/>
      <c r="T330" s="39"/>
      <c r="U330" s="39"/>
      <c r="V330" s="39"/>
      <c r="W330" s="39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35" t="s">
        <v>21</v>
      </c>
      <c r="B331" s="35" t="s">
        <v>35</v>
      </c>
      <c r="C331" s="35" t="s">
        <v>23</v>
      </c>
      <c r="D331" s="35" t="s">
        <v>52</v>
      </c>
      <c r="E331" s="35" t="s">
        <v>25</v>
      </c>
      <c r="F331" s="35" t="s">
        <v>25</v>
      </c>
      <c r="G331" s="35" t="s">
        <v>25</v>
      </c>
      <c r="H331" s="35" t="s">
        <v>25</v>
      </c>
      <c r="I331" s="54">
        <v>44682</v>
      </c>
      <c r="J331" s="55">
        <f>EFEITO!$J$331*EFEITO!$Y$331</f>
        <v>0</v>
      </c>
      <c r="K331" s="55">
        <f ca="1">EFEITO!$L$331*EFEITO!$Z$331</f>
        <v>262.74578153361853</v>
      </c>
      <c r="L331" s="55">
        <f>EFEITO!$N$331*EFEITO!$AA$331</f>
        <v>84.382330068299467</v>
      </c>
      <c r="M331" s="55">
        <f>$J$331-EFEITO!$K$331*EFEITO!$Y$331</f>
        <v>0</v>
      </c>
      <c r="N331" s="55">
        <f ca="1">$K$331-EFEITO!$M$331*EFEITO!$Z$331</f>
        <v>0</v>
      </c>
      <c r="O331" s="55">
        <f>$L$331-EFEITO!$O$331*EFEITO!$AA$331</f>
        <v>0</v>
      </c>
      <c r="P331" s="39"/>
      <c r="Q331" s="39"/>
      <c r="R331" s="39"/>
      <c r="S331" s="39"/>
      <c r="T331" s="39"/>
      <c r="U331" s="39"/>
      <c r="V331" s="39"/>
      <c r="W331" s="39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35" t="s">
        <v>21</v>
      </c>
      <c r="B332" s="35" t="s">
        <v>35</v>
      </c>
      <c r="C332" s="35" t="s">
        <v>23</v>
      </c>
      <c r="D332" s="35" t="s">
        <v>52</v>
      </c>
      <c r="E332" s="35" t="s">
        <v>25</v>
      </c>
      <c r="F332" s="35" t="s">
        <v>25</v>
      </c>
      <c r="G332" s="35" t="s">
        <v>25</v>
      </c>
      <c r="H332" s="35" t="s">
        <v>25</v>
      </c>
      <c r="I332" s="54">
        <v>44713</v>
      </c>
      <c r="J332" s="55">
        <f>EFEITO!$J$332*EFEITO!$Y$332</f>
        <v>0</v>
      </c>
      <c r="K332" s="55">
        <f ca="1">EFEITO!$L$332*EFEITO!$Z$332</f>
        <v>359.8474834047384</v>
      </c>
      <c r="L332" s="55">
        <f>EFEITO!$N$332*EFEITO!$AA$332</f>
        <v>115.56710422397535</v>
      </c>
      <c r="M332" s="55">
        <f>$J$332-EFEITO!$K$332*EFEITO!$Y$332</f>
        <v>0</v>
      </c>
      <c r="N332" s="55">
        <f ca="1">$K$332-EFEITO!$M$332*EFEITO!$Z$332</f>
        <v>0</v>
      </c>
      <c r="O332" s="55">
        <f>$L$332-EFEITO!$O$332*EFEITO!$AA$332</f>
        <v>0</v>
      </c>
      <c r="P332" s="39"/>
      <c r="Q332" s="39"/>
      <c r="R332" s="39"/>
      <c r="S332" s="39"/>
      <c r="T332" s="39"/>
      <c r="U332" s="39"/>
      <c r="V332" s="39"/>
      <c r="W332" s="39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35" t="s">
        <v>21</v>
      </c>
      <c r="B333" s="35" t="s">
        <v>35</v>
      </c>
      <c r="C333" s="35" t="s">
        <v>23</v>
      </c>
      <c r="D333" s="35" t="s">
        <v>52</v>
      </c>
      <c r="E333" s="35" t="s">
        <v>25</v>
      </c>
      <c r="F333" s="35" t="s">
        <v>25</v>
      </c>
      <c r="G333" s="35" t="s">
        <v>25</v>
      </c>
      <c r="H333" s="35" t="s">
        <v>25</v>
      </c>
      <c r="I333" s="54">
        <v>44743</v>
      </c>
      <c r="J333" s="55">
        <f>EFEITO!$J$333*EFEITO!$Y$333</f>
        <v>0</v>
      </c>
      <c r="K333" s="55">
        <f ca="1">EFEITO!$L$333*EFEITO!$Z$333</f>
        <v>303.76735612088311</v>
      </c>
      <c r="L333" s="55">
        <f>EFEITO!$N$333*EFEITO!$AA$333</f>
        <v>97.556646422836337</v>
      </c>
      <c r="M333" s="55">
        <f>$J$333-EFEITO!$K$333*EFEITO!$Y$333</f>
        <v>0</v>
      </c>
      <c r="N333" s="55">
        <f ca="1">$K$333-EFEITO!$M$333*EFEITO!$Z$333</f>
        <v>0</v>
      </c>
      <c r="O333" s="55">
        <f>$L$333-EFEITO!$O$333*EFEITO!$AA$333</f>
        <v>0</v>
      </c>
      <c r="P333" s="39"/>
      <c r="Q333" s="39"/>
      <c r="R333" s="39"/>
      <c r="S333" s="39"/>
      <c r="T333" s="39"/>
      <c r="U333" s="39"/>
      <c r="V333" s="39"/>
      <c r="W333" s="39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35" t="s">
        <v>21</v>
      </c>
      <c r="B334" s="35" t="s">
        <v>35</v>
      </c>
      <c r="C334" s="35" t="s">
        <v>23</v>
      </c>
      <c r="D334" s="35" t="s">
        <v>52</v>
      </c>
      <c r="E334" s="35" t="s">
        <v>25</v>
      </c>
      <c r="F334" s="35" t="s">
        <v>25</v>
      </c>
      <c r="G334" s="35" t="s">
        <v>25</v>
      </c>
      <c r="H334" s="35" t="s">
        <v>25</v>
      </c>
      <c r="I334" s="54">
        <v>44774</v>
      </c>
      <c r="J334" s="55">
        <f>EFEITO!$J$334*EFEITO!$Y$334</f>
        <v>0</v>
      </c>
      <c r="K334" s="55">
        <f ca="1">EFEITO!$L$334*EFEITO!$Z$334</f>
        <v>311.55626268808521</v>
      </c>
      <c r="L334" s="55">
        <f>EFEITO!$N$334*EFEITO!$AA$334</f>
        <v>100.05809889521676</v>
      </c>
      <c r="M334" s="55">
        <f>$J$334-EFEITO!$K$334*EFEITO!$Y$334</f>
        <v>0</v>
      </c>
      <c r="N334" s="55">
        <f ca="1">$K$334-EFEITO!$M$334*EFEITO!$Z$334</f>
        <v>0</v>
      </c>
      <c r="O334" s="55">
        <f>$L$334-EFEITO!$O$334*EFEITO!$AA$334</f>
        <v>0</v>
      </c>
      <c r="P334" s="39"/>
      <c r="Q334" s="39"/>
      <c r="R334" s="39"/>
      <c r="S334" s="39"/>
      <c r="T334" s="39"/>
      <c r="U334" s="39"/>
      <c r="V334" s="39"/>
      <c r="W334" s="39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35" t="s">
        <v>21</v>
      </c>
      <c r="B335" s="35" t="s">
        <v>35</v>
      </c>
      <c r="C335" s="35" t="s">
        <v>23</v>
      </c>
      <c r="D335" s="35" t="s">
        <v>36</v>
      </c>
      <c r="E335" s="35" t="s">
        <v>25</v>
      </c>
      <c r="F335" s="35" t="s">
        <v>25</v>
      </c>
      <c r="G335" s="35" t="s">
        <v>25</v>
      </c>
      <c r="H335" s="35" t="s">
        <v>25</v>
      </c>
      <c r="I335" s="54">
        <v>44440</v>
      </c>
      <c r="J335" s="55">
        <f>EFEITO!$J$335*EFEITO!$Y$335</f>
        <v>0</v>
      </c>
      <c r="K335" s="55">
        <f ca="1">EFEITO!$L$335*EFEITO!$Z$335</f>
        <v>21884.231151648921</v>
      </c>
      <c r="L335" s="55">
        <f>EFEITO!$N$335*EFEITO!$AA$335</f>
        <v>7028.2476298981846</v>
      </c>
      <c r="M335" s="55">
        <f>$J$335-EFEITO!$K$335*EFEITO!$Y$335</f>
        <v>0</v>
      </c>
      <c r="N335" s="55">
        <f ca="1">$K$335-EFEITO!$M$335*EFEITO!$Z$335</f>
        <v>0</v>
      </c>
      <c r="O335" s="55">
        <f>$L$335-EFEITO!$O$335*EFEITO!$AA$335</f>
        <v>0</v>
      </c>
      <c r="P335" s="39"/>
      <c r="Q335" s="39"/>
      <c r="R335" s="39"/>
      <c r="S335" s="39"/>
      <c r="T335" s="39"/>
      <c r="U335" s="39"/>
      <c r="V335" s="39"/>
      <c r="W335" s="39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35" t="s">
        <v>28</v>
      </c>
      <c r="B336" s="35" t="s">
        <v>35</v>
      </c>
      <c r="C336" s="35" t="s">
        <v>23</v>
      </c>
      <c r="D336" s="35" t="s">
        <v>36</v>
      </c>
      <c r="E336" s="35" t="s">
        <v>25</v>
      </c>
      <c r="F336" s="35" t="s">
        <v>25</v>
      </c>
      <c r="G336" s="35" t="s">
        <v>25</v>
      </c>
      <c r="H336" s="35" t="s">
        <v>25</v>
      </c>
      <c r="I336" s="54">
        <v>44440</v>
      </c>
      <c r="J336" s="55">
        <f>EFEITO!$J$336*EFEITO!$Y$336</f>
        <v>0</v>
      </c>
      <c r="K336" s="55">
        <f ca="1">EFEITO!$L$336*EFEITO!$Z$336</f>
        <v>54504.171855091445</v>
      </c>
      <c r="L336" s="55">
        <f>EFEITO!$N$336*EFEITO!$AA$336</f>
        <v>17504.33058422738</v>
      </c>
      <c r="M336" s="55">
        <f>$J$336-EFEITO!$K$336*EFEITO!$Y$336</f>
        <v>0</v>
      </c>
      <c r="N336" s="55">
        <f ca="1">$K$336-EFEITO!$M$336*EFEITO!$Z$336</f>
        <v>0</v>
      </c>
      <c r="O336" s="55">
        <f>$L$336-EFEITO!$O$336*EFEITO!$AA$336</f>
        <v>0</v>
      </c>
      <c r="P336" s="39"/>
      <c r="Q336" s="39"/>
      <c r="R336" s="39"/>
      <c r="S336" s="39"/>
      <c r="T336" s="39"/>
      <c r="U336" s="39"/>
      <c r="V336" s="39"/>
      <c r="W336" s="39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35" t="s">
        <v>28</v>
      </c>
      <c r="B337" s="35" t="s">
        <v>35</v>
      </c>
      <c r="C337" s="35" t="s">
        <v>23</v>
      </c>
      <c r="D337" s="35" t="s">
        <v>36</v>
      </c>
      <c r="E337" s="35" t="s">
        <v>25</v>
      </c>
      <c r="F337" s="35" t="s">
        <v>25</v>
      </c>
      <c r="G337" s="35" t="s">
        <v>25</v>
      </c>
      <c r="H337" s="35" t="s">
        <v>25</v>
      </c>
      <c r="I337" s="54">
        <v>44440</v>
      </c>
      <c r="J337" s="55">
        <f>EFEITO!$J$337*EFEITO!$Y$337</f>
        <v>0</v>
      </c>
      <c r="K337" s="55">
        <f ca="1">EFEITO!$L$337*EFEITO!$Z$337</f>
        <v>-51802.979057585748</v>
      </c>
      <c r="L337" s="55">
        <f>EFEITO!$N$337*EFEITO!$AA$337</f>
        <v>-16636.826866805852</v>
      </c>
      <c r="M337" s="55">
        <f>$J$337-EFEITO!$K$337*EFEITO!$Y$337</f>
        <v>0</v>
      </c>
      <c r="N337" s="55">
        <f ca="1">$K$337-EFEITO!$M$337*EFEITO!$Z$337</f>
        <v>0</v>
      </c>
      <c r="O337" s="55">
        <f>$L$337-EFEITO!$O$337*EFEITO!$AA$337</f>
        <v>0</v>
      </c>
      <c r="P337" s="39"/>
      <c r="Q337" s="39"/>
      <c r="R337" s="39"/>
      <c r="S337" s="39"/>
      <c r="T337" s="39"/>
      <c r="U337" s="39"/>
      <c r="V337" s="39"/>
      <c r="W337" s="39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35" t="s">
        <v>21</v>
      </c>
      <c r="B338" s="35" t="s">
        <v>35</v>
      </c>
      <c r="C338" s="35" t="s">
        <v>23</v>
      </c>
      <c r="D338" s="35" t="s">
        <v>36</v>
      </c>
      <c r="E338" s="35" t="s">
        <v>25</v>
      </c>
      <c r="F338" s="35" t="s">
        <v>25</v>
      </c>
      <c r="G338" s="35" t="s">
        <v>25</v>
      </c>
      <c r="H338" s="35" t="s">
        <v>25</v>
      </c>
      <c r="I338" s="54">
        <v>44470</v>
      </c>
      <c r="J338" s="55">
        <f>EFEITO!$J$338*EFEITO!$Y$338</f>
        <v>0</v>
      </c>
      <c r="K338" s="55">
        <f ca="1">EFEITO!$L$338*EFEITO!$Z$338</f>
        <v>23799.782906742832</v>
      </c>
      <c r="L338" s="55">
        <f>EFEITO!$N$338*EFEITO!$AA$338</f>
        <v>7643.4381746056088</v>
      </c>
      <c r="M338" s="55">
        <f>$J$338-EFEITO!$K$338*EFEITO!$Y$338</f>
        <v>0</v>
      </c>
      <c r="N338" s="55">
        <f ca="1">$K$338-EFEITO!$M$338*EFEITO!$Z$338</f>
        <v>0</v>
      </c>
      <c r="O338" s="55">
        <f>$L$338-EFEITO!$O$338*EFEITO!$AA$338</f>
        <v>0</v>
      </c>
      <c r="P338" s="39"/>
      <c r="Q338" s="39"/>
      <c r="R338" s="39"/>
      <c r="S338" s="39"/>
      <c r="T338" s="39"/>
      <c r="U338" s="39"/>
      <c r="V338" s="39"/>
      <c r="W338" s="39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35" t="s">
        <v>28</v>
      </c>
      <c r="B339" s="35" t="s">
        <v>35</v>
      </c>
      <c r="C339" s="35" t="s">
        <v>23</v>
      </c>
      <c r="D339" s="35" t="s">
        <v>36</v>
      </c>
      <c r="E339" s="35" t="s">
        <v>25</v>
      </c>
      <c r="F339" s="35" t="s">
        <v>25</v>
      </c>
      <c r="G339" s="35" t="s">
        <v>25</v>
      </c>
      <c r="H339" s="35" t="s">
        <v>25</v>
      </c>
      <c r="I339" s="54">
        <v>44470</v>
      </c>
      <c r="J339" s="55">
        <f>EFEITO!$J$339*EFEITO!$Y$339</f>
        <v>0</v>
      </c>
      <c r="K339" s="55">
        <f ca="1">EFEITO!$L$339*EFEITO!$Z$339</f>
        <v>1920.7443594720453</v>
      </c>
      <c r="L339" s="55">
        <f>EFEITO!$N$339*EFEITO!$AA$339</f>
        <v>616.85817968901131</v>
      </c>
      <c r="M339" s="55">
        <f>$J$339-EFEITO!$K$339*EFEITO!$Y$339</f>
        <v>0</v>
      </c>
      <c r="N339" s="55">
        <f ca="1">$K$339-EFEITO!$M$339*EFEITO!$Z$339</f>
        <v>0</v>
      </c>
      <c r="O339" s="55">
        <f>$L$339-EFEITO!$O$339*EFEITO!$AA$339</f>
        <v>0</v>
      </c>
      <c r="P339" s="39"/>
      <c r="Q339" s="39"/>
      <c r="R339" s="39"/>
      <c r="S339" s="39"/>
      <c r="T339" s="39"/>
      <c r="U339" s="39"/>
      <c r="V339" s="39"/>
      <c r="W339" s="39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35" t="s">
        <v>21</v>
      </c>
      <c r="B340" s="35" t="s">
        <v>35</v>
      </c>
      <c r="C340" s="35" t="s">
        <v>23</v>
      </c>
      <c r="D340" s="35" t="s">
        <v>36</v>
      </c>
      <c r="E340" s="35" t="s">
        <v>25</v>
      </c>
      <c r="F340" s="35" t="s">
        <v>25</v>
      </c>
      <c r="G340" s="35" t="s">
        <v>25</v>
      </c>
      <c r="H340" s="35" t="s">
        <v>25</v>
      </c>
      <c r="I340" s="54">
        <v>44501</v>
      </c>
      <c r="J340" s="55">
        <f>EFEITO!$J$340*EFEITO!$Y$340</f>
        <v>0</v>
      </c>
      <c r="K340" s="55">
        <f ca="1">EFEITO!$L$340*EFEITO!$Z$340</f>
        <v>21379.510006094224</v>
      </c>
      <c r="L340" s="55">
        <f>EFEITO!$N$340*EFEITO!$AA$340</f>
        <v>6866.1535096879334</v>
      </c>
      <c r="M340" s="55">
        <f>$J$340-EFEITO!$K$340*EFEITO!$Y$340</f>
        <v>0</v>
      </c>
      <c r="N340" s="55">
        <f ca="1">$K$340-EFEITO!$M$340*EFEITO!$Z$340</f>
        <v>0</v>
      </c>
      <c r="O340" s="55">
        <f>$L$340-EFEITO!$O$340*EFEITO!$AA$340</f>
        <v>0</v>
      </c>
      <c r="P340" s="39"/>
      <c r="Q340" s="39"/>
      <c r="R340" s="39"/>
      <c r="S340" s="39"/>
      <c r="T340" s="39"/>
      <c r="U340" s="39"/>
      <c r="V340" s="39"/>
      <c r="W340" s="39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35" t="s">
        <v>28</v>
      </c>
      <c r="B341" s="35" t="s">
        <v>35</v>
      </c>
      <c r="C341" s="35" t="s">
        <v>23</v>
      </c>
      <c r="D341" s="35" t="s">
        <v>36</v>
      </c>
      <c r="E341" s="35" t="s">
        <v>25</v>
      </c>
      <c r="F341" s="35" t="s">
        <v>25</v>
      </c>
      <c r="G341" s="35" t="s">
        <v>25</v>
      </c>
      <c r="H341" s="35" t="s">
        <v>25</v>
      </c>
      <c r="I341" s="54">
        <v>44501</v>
      </c>
      <c r="J341" s="55">
        <f>EFEITO!$J$341*EFEITO!$Y$341</f>
        <v>0</v>
      </c>
      <c r="K341" s="55">
        <f ca="1">EFEITO!$L$341*EFEITO!$Z$341</f>
        <v>1430.5625061761245</v>
      </c>
      <c r="L341" s="55">
        <f>EFEITO!$N$341*EFEITO!$AA$341</f>
        <v>459.43343742720361</v>
      </c>
      <c r="M341" s="55">
        <f>$J$341-EFEITO!$K$341*EFEITO!$Y$341</f>
        <v>0</v>
      </c>
      <c r="N341" s="55">
        <f ca="1">$K$341-EFEITO!$M$341*EFEITO!$Z$341</f>
        <v>0</v>
      </c>
      <c r="O341" s="55">
        <f>$L$341-EFEITO!$O$341*EFEITO!$AA$341</f>
        <v>0</v>
      </c>
      <c r="P341" s="39"/>
      <c r="Q341" s="39"/>
      <c r="R341" s="39"/>
      <c r="S341" s="39"/>
      <c r="T341" s="39"/>
      <c r="U341" s="39"/>
      <c r="V341" s="39"/>
      <c r="W341" s="39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35" t="s">
        <v>21</v>
      </c>
      <c r="B342" s="35" t="s">
        <v>35</v>
      </c>
      <c r="C342" s="35" t="s">
        <v>23</v>
      </c>
      <c r="D342" s="35" t="s">
        <v>36</v>
      </c>
      <c r="E342" s="35" t="s">
        <v>25</v>
      </c>
      <c r="F342" s="35" t="s">
        <v>25</v>
      </c>
      <c r="G342" s="35" t="s">
        <v>25</v>
      </c>
      <c r="H342" s="35" t="s">
        <v>25</v>
      </c>
      <c r="I342" s="54">
        <v>44531</v>
      </c>
      <c r="J342" s="55">
        <f>EFEITO!$J$342*EFEITO!$Y$342</f>
        <v>0</v>
      </c>
      <c r="K342" s="55">
        <f ca="1">EFEITO!$L$342*EFEITO!$Z$342</f>
        <v>19610.389694463709</v>
      </c>
      <c r="L342" s="55">
        <f>EFEITO!$N$342*EFEITO!$AA$342</f>
        <v>6297.9902714612599</v>
      </c>
      <c r="M342" s="55">
        <f>$J$342-EFEITO!$K$342*EFEITO!$Y$342</f>
        <v>0</v>
      </c>
      <c r="N342" s="55">
        <f ca="1">$K$342-EFEITO!$M$342*EFEITO!$Z$342</f>
        <v>0</v>
      </c>
      <c r="O342" s="55">
        <f>$L$342-EFEITO!$O$342*EFEITO!$AA$342</f>
        <v>0</v>
      </c>
      <c r="P342" s="39"/>
      <c r="Q342" s="39"/>
      <c r="R342" s="39"/>
      <c r="S342" s="39"/>
      <c r="T342" s="39"/>
      <c r="U342" s="39"/>
      <c r="V342" s="39"/>
      <c r="W342" s="39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35" t="s">
        <v>28</v>
      </c>
      <c r="B343" s="35" t="s">
        <v>35</v>
      </c>
      <c r="C343" s="35" t="s">
        <v>23</v>
      </c>
      <c r="D343" s="35" t="s">
        <v>36</v>
      </c>
      <c r="E343" s="35" t="s">
        <v>25</v>
      </c>
      <c r="F343" s="35" t="s">
        <v>25</v>
      </c>
      <c r="G343" s="35" t="s">
        <v>25</v>
      </c>
      <c r="H343" s="35" t="s">
        <v>25</v>
      </c>
      <c r="I343" s="54">
        <v>44531</v>
      </c>
      <c r="J343" s="55">
        <f>EFEITO!$J$343*EFEITO!$Y$343</f>
        <v>0</v>
      </c>
      <c r="K343" s="55">
        <f ca="1">EFEITO!$L$343*EFEITO!$Z$343</f>
        <v>328.69185713592992</v>
      </c>
      <c r="L343" s="55">
        <f>EFEITO!$N$343*EFEITO!$AA$343</f>
        <v>105.56129433445369</v>
      </c>
      <c r="M343" s="55">
        <f>$J$343-EFEITO!$K$343*EFEITO!$Y$343</f>
        <v>0</v>
      </c>
      <c r="N343" s="55">
        <f ca="1">$K$343-EFEITO!$M$343*EFEITO!$Z$343</f>
        <v>0</v>
      </c>
      <c r="O343" s="55">
        <f>$L$343-EFEITO!$O$343*EFEITO!$AA$343</f>
        <v>0</v>
      </c>
      <c r="P343" s="39"/>
      <c r="Q343" s="39"/>
      <c r="R343" s="39"/>
      <c r="S343" s="39"/>
      <c r="T343" s="39"/>
      <c r="U343" s="39"/>
      <c r="V343" s="39"/>
      <c r="W343" s="39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35" t="s">
        <v>21</v>
      </c>
      <c r="B344" s="35" t="s">
        <v>35</v>
      </c>
      <c r="C344" s="35" t="s">
        <v>23</v>
      </c>
      <c r="D344" s="35" t="s">
        <v>36</v>
      </c>
      <c r="E344" s="35" t="s">
        <v>25</v>
      </c>
      <c r="F344" s="35" t="s">
        <v>25</v>
      </c>
      <c r="G344" s="35" t="s">
        <v>25</v>
      </c>
      <c r="H344" s="35" t="s">
        <v>25</v>
      </c>
      <c r="I344" s="54">
        <v>44562</v>
      </c>
      <c r="J344" s="55">
        <f>EFEITO!$J$344*EFEITO!$Y$344</f>
        <v>0</v>
      </c>
      <c r="K344" s="55">
        <f ca="1">EFEITO!$L$344*EFEITO!$Z$344</f>
        <v>19444.2263543634</v>
      </c>
      <c r="L344" s="55">
        <f>EFEITO!$N$344*EFEITO!$AA$344</f>
        <v>6244.6259520504782</v>
      </c>
      <c r="M344" s="55">
        <f>$J$344-EFEITO!$K$344*EFEITO!$Y$344</f>
        <v>0</v>
      </c>
      <c r="N344" s="55">
        <f ca="1">$K$344-EFEITO!$M$344*EFEITO!$Z$344</f>
        <v>0</v>
      </c>
      <c r="O344" s="55">
        <f>$L$344-EFEITO!$O$344*EFEITO!$AA$344</f>
        <v>0</v>
      </c>
      <c r="P344" s="39"/>
      <c r="Q344" s="39"/>
      <c r="R344" s="39"/>
      <c r="S344" s="39"/>
      <c r="T344" s="39"/>
      <c r="U344" s="39"/>
      <c r="V344" s="39"/>
      <c r="W344" s="39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35" t="s">
        <v>28</v>
      </c>
      <c r="B345" s="35" t="s">
        <v>35</v>
      </c>
      <c r="C345" s="35" t="s">
        <v>23</v>
      </c>
      <c r="D345" s="35" t="s">
        <v>36</v>
      </c>
      <c r="E345" s="35" t="s">
        <v>25</v>
      </c>
      <c r="F345" s="35" t="s">
        <v>25</v>
      </c>
      <c r="G345" s="35" t="s">
        <v>25</v>
      </c>
      <c r="H345" s="35" t="s">
        <v>25</v>
      </c>
      <c r="I345" s="54">
        <v>44562</v>
      </c>
      <c r="J345" s="55">
        <f>EFEITO!$J$345*EFEITO!$Y$345</f>
        <v>0</v>
      </c>
      <c r="K345" s="55">
        <f ca="1">EFEITO!$L$345*EFEITO!$Z$345</f>
        <v>155.77813134404261</v>
      </c>
      <c r="L345" s="55">
        <f>EFEITO!$N$345*EFEITO!$AA$345</f>
        <v>50.029049447608379</v>
      </c>
      <c r="M345" s="55">
        <f>$J$345-EFEITO!$K$345*EFEITO!$Y$345</f>
        <v>0</v>
      </c>
      <c r="N345" s="55">
        <f ca="1">$K$345-EFEITO!$M$345*EFEITO!$Z$345</f>
        <v>0</v>
      </c>
      <c r="O345" s="55">
        <f>$L$345-EFEITO!$O$345*EFEITO!$AA$345</f>
        <v>0</v>
      </c>
      <c r="P345" s="39"/>
      <c r="Q345" s="39"/>
      <c r="R345" s="39"/>
      <c r="S345" s="39"/>
      <c r="T345" s="39"/>
      <c r="U345" s="39"/>
      <c r="V345" s="39"/>
      <c r="W345" s="39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35" t="s">
        <v>21</v>
      </c>
      <c r="B346" s="35" t="s">
        <v>35</v>
      </c>
      <c r="C346" s="35" t="s">
        <v>23</v>
      </c>
      <c r="D346" s="35" t="s">
        <v>36</v>
      </c>
      <c r="E346" s="35" t="s">
        <v>25</v>
      </c>
      <c r="F346" s="35" t="s">
        <v>25</v>
      </c>
      <c r="G346" s="35" t="s">
        <v>25</v>
      </c>
      <c r="H346" s="35" t="s">
        <v>25</v>
      </c>
      <c r="I346" s="54">
        <v>44593</v>
      </c>
      <c r="J346" s="55">
        <f>EFEITO!$J$346*EFEITO!$Y$346</f>
        <v>0</v>
      </c>
      <c r="K346" s="55">
        <f ca="1">EFEITO!$L$346*EFEITO!$Z$346</f>
        <v>20023.721002963237</v>
      </c>
      <c r="L346" s="55">
        <f>EFEITO!$N$346*EFEITO!$AA$346</f>
        <v>6430.7340159955811</v>
      </c>
      <c r="M346" s="55">
        <f>$J$346-EFEITO!$K$346*EFEITO!$Y$346</f>
        <v>0</v>
      </c>
      <c r="N346" s="55">
        <f ca="1">$K$346-EFEITO!$M$346*EFEITO!$Z$346</f>
        <v>0</v>
      </c>
      <c r="O346" s="55">
        <f>$L$346-EFEITO!$O$346*EFEITO!$AA$346</f>
        <v>0</v>
      </c>
      <c r="P346" s="39"/>
      <c r="Q346" s="39"/>
      <c r="R346" s="39"/>
      <c r="S346" s="39"/>
      <c r="T346" s="39"/>
      <c r="U346" s="39"/>
      <c r="V346" s="39"/>
      <c r="W346" s="39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35" t="s">
        <v>28</v>
      </c>
      <c r="B347" s="35" t="s">
        <v>35</v>
      </c>
      <c r="C347" s="35" t="s">
        <v>23</v>
      </c>
      <c r="D347" s="35" t="s">
        <v>36</v>
      </c>
      <c r="E347" s="35" t="s">
        <v>25</v>
      </c>
      <c r="F347" s="35" t="s">
        <v>25</v>
      </c>
      <c r="G347" s="35" t="s">
        <v>25</v>
      </c>
      <c r="H347" s="35" t="s">
        <v>25</v>
      </c>
      <c r="I347" s="54">
        <v>44593</v>
      </c>
      <c r="J347" s="55">
        <f>EFEITO!$J$347*EFEITO!$Y$347</f>
        <v>0</v>
      </c>
      <c r="K347" s="55">
        <f ca="1">EFEITO!$L$347*EFEITO!$Z$347</f>
        <v>155.77813134404261</v>
      </c>
      <c r="L347" s="55">
        <f>EFEITO!$N$347*EFEITO!$AA$347</f>
        <v>50.029049447608379</v>
      </c>
      <c r="M347" s="55">
        <f>$J$347-EFEITO!$K$347*EFEITO!$Y$347</f>
        <v>0</v>
      </c>
      <c r="N347" s="55">
        <f ca="1">$K$347-EFEITO!$M$347*EFEITO!$Z$347</f>
        <v>0</v>
      </c>
      <c r="O347" s="55">
        <f>$L$347-EFEITO!$O$347*EFEITO!$AA$347</f>
        <v>0</v>
      </c>
      <c r="P347" s="39"/>
      <c r="Q347" s="39"/>
      <c r="R347" s="39"/>
      <c r="S347" s="39"/>
      <c r="T347" s="39"/>
      <c r="U347" s="39"/>
      <c r="V347" s="39"/>
      <c r="W347" s="39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35" t="s">
        <v>21</v>
      </c>
      <c r="B348" s="35" t="s">
        <v>35</v>
      </c>
      <c r="C348" s="35" t="s">
        <v>23</v>
      </c>
      <c r="D348" s="35" t="s">
        <v>36</v>
      </c>
      <c r="E348" s="35" t="s">
        <v>25</v>
      </c>
      <c r="F348" s="35" t="s">
        <v>25</v>
      </c>
      <c r="G348" s="35" t="s">
        <v>25</v>
      </c>
      <c r="H348" s="35" t="s">
        <v>25</v>
      </c>
      <c r="I348" s="54">
        <v>44621</v>
      </c>
      <c r="J348" s="55">
        <f>EFEITO!$J$348*EFEITO!$Y$348</f>
        <v>0</v>
      </c>
      <c r="K348" s="55">
        <f ca="1">EFEITO!$L$348*EFEITO!$Z$348</f>
        <v>20131.207913590628</v>
      </c>
      <c r="L348" s="55">
        <f>EFEITO!$N$348*EFEITO!$AA$348</f>
        <v>6465.254060114431</v>
      </c>
      <c r="M348" s="55">
        <f>$J$348-EFEITO!$K$348*EFEITO!$Y$348</f>
        <v>0</v>
      </c>
      <c r="N348" s="55">
        <f ca="1">$K$348-EFEITO!$M$348*EFEITO!$Z$348</f>
        <v>0</v>
      </c>
      <c r="O348" s="55">
        <f>$L$348-EFEITO!$O$348*EFEITO!$AA$348</f>
        <v>0</v>
      </c>
      <c r="P348" s="39"/>
      <c r="Q348" s="39"/>
      <c r="R348" s="39"/>
      <c r="S348" s="39"/>
      <c r="T348" s="39"/>
      <c r="U348" s="39"/>
      <c r="V348" s="39"/>
      <c r="W348" s="39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35" t="s">
        <v>28</v>
      </c>
      <c r="B349" s="35" t="s">
        <v>35</v>
      </c>
      <c r="C349" s="35" t="s">
        <v>23</v>
      </c>
      <c r="D349" s="35" t="s">
        <v>36</v>
      </c>
      <c r="E349" s="35" t="s">
        <v>25</v>
      </c>
      <c r="F349" s="35" t="s">
        <v>25</v>
      </c>
      <c r="G349" s="35" t="s">
        <v>25</v>
      </c>
      <c r="H349" s="35" t="s">
        <v>25</v>
      </c>
      <c r="I349" s="54">
        <v>44621</v>
      </c>
      <c r="J349" s="55">
        <f>EFEITO!$J$349*EFEITO!$Y$349</f>
        <v>0</v>
      </c>
      <c r="K349" s="55">
        <f ca="1">EFEITO!$L$349*EFEITO!$Z$349</f>
        <v>155.77813134404261</v>
      </c>
      <c r="L349" s="55">
        <f>EFEITO!$N$349*EFEITO!$AA$349</f>
        <v>50.029049447608379</v>
      </c>
      <c r="M349" s="55">
        <f>$J$349-EFEITO!$K$349*EFEITO!$Y$349</f>
        <v>0</v>
      </c>
      <c r="N349" s="55">
        <f ca="1">$K$349-EFEITO!$M$349*EFEITO!$Z$349</f>
        <v>0</v>
      </c>
      <c r="O349" s="55">
        <f>$L$349-EFEITO!$O$349*EFEITO!$AA$349</f>
        <v>0</v>
      </c>
      <c r="P349" s="39"/>
      <c r="Q349" s="39"/>
      <c r="R349" s="39"/>
      <c r="S349" s="39"/>
      <c r="T349" s="39"/>
      <c r="U349" s="39"/>
      <c r="V349" s="39"/>
      <c r="W349" s="39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35" t="s">
        <v>21</v>
      </c>
      <c r="B350" s="35" t="s">
        <v>35</v>
      </c>
      <c r="C350" s="35" t="s">
        <v>23</v>
      </c>
      <c r="D350" s="35" t="s">
        <v>36</v>
      </c>
      <c r="E350" s="35" t="s">
        <v>25</v>
      </c>
      <c r="F350" s="35" t="s">
        <v>25</v>
      </c>
      <c r="G350" s="35" t="s">
        <v>25</v>
      </c>
      <c r="H350" s="35" t="s">
        <v>25</v>
      </c>
      <c r="I350" s="54">
        <v>44652</v>
      </c>
      <c r="J350" s="55">
        <f>EFEITO!$J$350*EFEITO!$Y$350</f>
        <v>0</v>
      </c>
      <c r="K350" s="55">
        <f ca="1">EFEITO!$L$350*EFEITO!$Z$350</f>
        <v>18740.62846112614</v>
      </c>
      <c r="L350" s="55">
        <f>EFEITO!$N$350*EFEITO!$AA$350</f>
        <v>6018.6614120454469</v>
      </c>
      <c r="M350" s="55">
        <f>$J$350-EFEITO!$K$350*EFEITO!$Y$350</f>
        <v>0</v>
      </c>
      <c r="N350" s="55">
        <f ca="1">$K$350-EFEITO!$M$350*EFEITO!$Z$350</f>
        <v>0</v>
      </c>
      <c r="O350" s="55">
        <f>$L$350-EFEITO!$O$350*EFEITO!$AA$350</f>
        <v>0</v>
      </c>
      <c r="P350" s="39"/>
      <c r="Q350" s="39"/>
      <c r="R350" s="39"/>
      <c r="S350" s="39"/>
      <c r="T350" s="39"/>
      <c r="U350" s="39"/>
      <c r="V350" s="39"/>
      <c r="W350" s="39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35" t="s">
        <v>28</v>
      </c>
      <c r="B351" s="35" t="s">
        <v>35</v>
      </c>
      <c r="C351" s="35" t="s">
        <v>23</v>
      </c>
      <c r="D351" s="35" t="s">
        <v>36</v>
      </c>
      <c r="E351" s="35" t="s">
        <v>25</v>
      </c>
      <c r="F351" s="35" t="s">
        <v>25</v>
      </c>
      <c r="G351" s="35" t="s">
        <v>25</v>
      </c>
      <c r="H351" s="35" t="s">
        <v>25</v>
      </c>
      <c r="I351" s="54">
        <v>44652</v>
      </c>
      <c r="J351" s="55">
        <f>EFEITO!$J$351*EFEITO!$Y$351</f>
        <v>0</v>
      </c>
      <c r="K351" s="55">
        <f ca="1">EFEITO!$L$351*EFEITO!$Z$351</f>
        <v>1163.6626411399984</v>
      </c>
      <c r="L351" s="55">
        <f>EFEITO!$N$351*EFEITO!$AA$351</f>
        <v>373.71699937363462</v>
      </c>
      <c r="M351" s="55">
        <f>$J$351-EFEITO!$K$351*EFEITO!$Y$351</f>
        <v>0</v>
      </c>
      <c r="N351" s="55">
        <f ca="1">$K$351-EFEITO!$M$351*EFEITO!$Z$351</f>
        <v>0</v>
      </c>
      <c r="O351" s="55">
        <f>$L$351-EFEITO!$O$351*EFEITO!$AA$351</f>
        <v>0</v>
      </c>
      <c r="P351" s="39"/>
      <c r="Q351" s="39"/>
      <c r="R351" s="39"/>
      <c r="S351" s="39"/>
      <c r="T351" s="39"/>
      <c r="U351" s="39"/>
      <c r="V351" s="39"/>
      <c r="W351" s="39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35" t="s">
        <v>21</v>
      </c>
      <c r="B352" s="35" t="s">
        <v>35</v>
      </c>
      <c r="C352" s="35" t="s">
        <v>23</v>
      </c>
      <c r="D352" s="35" t="s">
        <v>36</v>
      </c>
      <c r="E352" s="35" t="s">
        <v>25</v>
      </c>
      <c r="F352" s="35" t="s">
        <v>25</v>
      </c>
      <c r="G352" s="35" t="s">
        <v>25</v>
      </c>
      <c r="H352" s="35" t="s">
        <v>25</v>
      </c>
      <c r="I352" s="54">
        <v>44682</v>
      </c>
      <c r="J352" s="55">
        <f>EFEITO!$J$352*EFEITO!$Y$352</f>
        <v>0</v>
      </c>
      <c r="K352" s="55">
        <f ca="1">EFEITO!$L$352*EFEITO!$Z$352</f>
        <v>19046.472858998277</v>
      </c>
      <c r="L352" s="55">
        <f>EFEITO!$N$352*EFEITO!$AA$352</f>
        <v>6116.8851124609182</v>
      </c>
      <c r="M352" s="55">
        <f>$J$352-EFEITO!$K$352*EFEITO!$Y$352</f>
        <v>0</v>
      </c>
      <c r="N352" s="55">
        <f ca="1">$K$352-EFEITO!$M$352*EFEITO!$Z$352</f>
        <v>0</v>
      </c>
      <c r="O352" s="55">
        <f>$L$352-EFEITO!$O$352*EFEITO!$AA$352</f>
        <v>0</v>
      </c>
      <c r="P352" s="39"/>
      <c r="Q352" s="39"/>
      <c r="R352" s="39"/>
      <c r="S352" s="39"/>
      <c r="T352" s="39"/>
      <c r="U352" s="39"/>
      <c r="V352" s="39"/>
      <c r="W352" s="39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35" t="s">
        <v>28</v>
      </c>
      <c r="B353" s="35" t="s">
        <v>35</v>
      </c>
      <c r="C353" s="35" t="s">
        <v>23</v>
      </c>
      <c r="D353" s="35" t="s">
        <v>36</v>
      </c>
      <c r="E353" s="35" t="s">
        <v>25</v>
      </c>
      <c r="F353" s="35" t="s">
        <v>25</v>
      </c>
      <c r="G353" s="35" t="s">
        <v>25</v>
      </c>
      <c r="H353" s="35" t="s">
        <v>25</v>
      </c>
      <c r="I353" s="54">
        <v>44682</v>
      </c>
      <c r="J353" s="55">
        <f>EFEITO!$J$353*EFEITO!$Y$353</f>
        <v>0</v>
      </c>
      <c r="K353" s="55">
        <f ca="1">EFEITO!$L$353*EFEITO!$Z$353</f>
        <v>2142.4685664183999</v>
      </c>
      <c r="L353" s="55">
        <f>EFEITO!$N$353*EFEITO!$AA$353</f>
        <v>688.06619340277393</v>
      </c>
      <c r="M353" s="55">
        <f>$J$353-EFEITO!$K$353*EFEITO!$Y$353</f>
        <v>0</v>
      </c>
      <c r="N353" s="55">
        <f ca="1">$K$353-EFEITO!$M$353*EFEITO!$Z$353</f>
        <v>0</v>
      </c>
      <c r="O353" s="55">
        <f>$L$353-EFEITO!$O$353*EFEITO!$AA$353</f>
        <v>0</v>
      </c>
      <c r="P353" s="39"/>
      <c r="Q353" s="39"/>
      <c r="R353" s="39"/>
      <c r="S353" s="39"/>
      <c r="T353" s="39"/>
      <c r="U353" s="39"/>
      <c r="V353" s="39"/>
      <c r="W353" s="39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35" t="s">
        <v>21</v>
      </c>
      <c r="B354" s="35" t="s">
        <v>35</v>
      </c>
      <c r="C354" s="35" t="s">
        <v>23</v>
      </c>
      <c r="D354" s="35" t="s">
        <v>36</v>
      </c>
      <c r="E354" s="35" t="s">
        <v>25</v>
      </c>
      <c r="F354" s="35" t="s">
        <v>25</v>
      </c>
      <c r="G354" s="35" t="s">
        <v>25</v>
      </c>
      <c r="H354" s="35" t="s">
        <v>25</v>
      </c>
      <c r="I354" s="54">
        <v>44713</v>
      </c>
      <c r="J354" s="55">
        <f>EFEITO!$J$354*EFEITO!$Y$354</f>
        <v>0</v>
      </c>
      <c r="K354" s="55">
        <f ca="1">EFEITO!$L$354*EFEITO!$Z$354</f>
        <v>20777.687158668406</v>
      </c>
      <c r="L354" s="55">
        <f>EFEITO!$N$354*EFEITO!$AA$354</f>
        <v>6672.8746153220063</v>
      </c>
      <c r="M354" s="55">
        <f>$J$354-EFEITO!$K$354*EFEITO!$Y$354</f>
        <v>0</v>
      </c>
      <c r="N354" s="55">
        <f ca="1">$K$354-EFEITO!$M$354*EFEITO!$Z$354</f>
        <v>0</v>
      </c>
      <c r="O354" s="55">
        <f>$L$354-EFEITO!$O$354*EFEITO!$AA$354</f>
        <v>0</v>
      </c>
      <c r="P354" s="39"/>
      <c r="Q354" s="39"/>
      <c r="R354" s="39"/>
      <c r="S354" s="39"/>
      <c r="T354" s="39"/>
      <c r="U354" s="39"/>
      <c r="V354" s="39"/>
      <c r="W354" s="39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35" t="s">
        <v>21</v>
      </c>
      <c r="B355" s="35" t="s">
        <v>35</v>
      </c>
      <c r="C355" s="35" t="s">
        <v>23</v>
      </c>
      <c r="D355" s="35" t="s">
        <v>36</v>
      </c>
      <c r="E355" s="35" t="s">
        <v>25</v>
      </c>
      <c r="F355" s="35" t="s">
        <v>25</v>
      </c>
      <c r="G355" s="35" t="s">
        <v>25</v>
      </c>
      <c r="H355" s="35" t="s">
        <v>25</v>
      </c>
      <c r="I355" s="54">
        <v>44743</v>
      </c>
      <c r="J355" s="55">
        <f>EFEITO!$J$355*EFEITO!$Y$355</f>
        <v>0</v>
      </c>
      <c r="K355" s="55">
        <f ca="1">EFEITO!$L$355*EFEITO!$Z$355</f>
        <v>16882.714614629524</v>
      </c>
      <c r="L355" s="55">
        <f>EFEITO!$N$355*EFEITO!$AA$355</f>
        <v>5421.9816156336374</v>
      </c>
      <c r="M355" s="55">
        <f>$J$355-EFEITO!$K$355*EFEITO!$Y$355</f>
        <v>0</v>
      </c>
      <c r="N355" s="55">
        <f ca="1">$K$355-EFEITO!$M$355*EFEITO!$Z$355</f>
        <v>0</v>
      </c>
      <c r="O355" s="55">
        <f>$L$355-EFEITO!$O$355*EFEITO!$AA$355</f>
        <v>0</v>
      </c>
      <c r="P355" s="39"/>
      <c r="Q355" s="39"/>
      <c r="R355" s="39"/>
      <c r="S355" s="39"/>
      <c r="T355" s="39"/>
      <c r="U355" s="39"/>
      <c r="V355" s="39"/>
      <c r="W355" s="39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35" t="s">
        <v>28</v>
      </c>
      <c r="B356" s="35" t="s">
        <v>35</v>
      </c>
      <c r="C356" s="35" t="s">
        <v>23</v>
      </c>
      <c r="D356" s="35" t="s">
        <v>36</v>
      </c>
      <c r="E356" s="35" t="s">
        <v>25</v>
      </c>
      <c r="F356" s="35" t="s">
        <v>25</v>
      </c>
      <c r="G356" s="35" t="s">
        <v>25</v>
      </c>
      <c r="H356" s="35" t="s">
        <v>25</v>
      </c>
      <c r="I356" s="54">
        <v>44743</v>
      </c>
      <c r="J356" s="55">
        <f>EFEITO!$J$356*EFEITO!$Y$356</f>
        <v>0</v>
      </c>
      <c r="K356" s="55">
        <f ca="1">EFEITO!$L$356*EFEITO!$Z$356</f>
        <v>3332.613489886885</v>
      </c>
      <c r="L356" s="55">
        <f>EFEITO!$N$356*EFEITO!$AA$356</f>
        <v>1070.288131182502</v>
      </c>
      <c r="M356" s="55">
        <f>$J$356-EFEITO!$K$356*EFEITO!$Y$356</f>
        <v>0</v>
      </c>
      <c r="N356" s="55">
        <f ca="1">$K$356-EFEITO!$M$356*EFEITO!$Z$356</f>
        <v>0</v>
      </c>
      <c r="O356" s="55">
        <f>$L$356-EFEITO!$O$356*EFEITO!$AA$356</f>
        <v>0</v>
      </c>
      <c r="P356" s="39"/>
      <c r="Q356" s="39"/>
      <c r="R356" s="39"/>
      <c r="S356" s="39"/>
      <c r="T356" s="39"/>
      <c r="U356" s="39"/>
      <c r="V356" s="39"/>
      <c r="W356" s="39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35" t="s">
        <v>21</v>
      </c>
      <c r="B357" s="35" t="s">
        <v>35</v>
      </c>
      <c r="C357" s="35" t="s">
        <v>23</v>
      </c>
      <c r="D357" s="35" t="s">
        <v>36</v>
      </c>
      <c r="E357" s="35" t="s">
        <v>25</v>
      </c>
      <c r="F357" s="35" t="s">
        <v>25</v>
      </c>
      <c r="G357" s="35" t="s">
        <v>25</v>
      </c>
      <c r="H357" s="35" t="s">
        <v>25</v>
      </c>
      <c r="I357" s="54">
        <v>44774</v>
      </c>
      <c r="J357" s="55">
        <f>EFEITO!$J$357*EFEITO!$Y$357</f>
        <v>0</v>
      </c>
      <c r="K357" s="55">
        <f ca="1">EFEITO!$L$357*EFEITO!$Z$357</f>
        <v>20701.875134747639</v>
      </c>
      <c r="L357" s="55">
        <f>EFEITO!$N$357*EFEITO!$AA$357</f>
        <v>6648.5271445908365</v>
      </c>
      <c r="M357" s="55">
        <f>$J$357-EFEITO!$K$357*EFEITO!$Y$357</f>
        <v>0</v>
      </c>
      <c r="N357" s="55">
        <f ca="1">$K$357-EFEITO!$M$357*EFEITO!$Z$357</f>
        <v>0</v>
      </c>
      <c r="O357" s="55">
        <f>$L$357-EFEITO!$O$357*EFEITO!$AA$357</f>
        <v>0</v>
      </c>
      <c r="P357" s="39"/>
      <c r="Q357" s="39"/>
      <c r="R357" s="39"/>
      <c r="S357" s="39"/>
      <c r="T357" s="39"/>
      <c r="U357" s="39"/>
      <c r="V357" s="39"/>
      <c r="W357" s="39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35" t="s">
        <v>28</v>
      </c>
      <c r="B358" s="35" t="s">
        <v>35</v>
      </c>
      <c r="C358" s="35" t="s">
        <v>23</v>
      </c>
      <c r="D358" s="35" t="s">
        <v>36</v>
      </c>
      <c r="E358" s="35" t="s">
        <v>25</v>
      </c>
      <c r="F358" s="35" t="s">
        <v>25</v>
      </c>
      <c r="G358" s="35" t="s">
        <v>25</v>
      </c>
      <c r="H358" s="35" t="s">
        <v>25</v>
      </c>
      <c r="I358" s="54">
        <v>44774</v>
      </c>
      <c r="J358" s="55">
        <f>EFEITO!$J$358*EFEITO!$Y$358</f>
        <v>0</v>
      </c>
      <c r="K358" s="55">
        <f ca="1">EFEITO!$L$358*EFEITO!$Z$358</f>
        <v>3647.804575639665</v>
      </c>
      <c r="L358" s="55">
        <f>EFEITO!$N$358*EFEITO!$AA$358</f>
        <v>1171.5135745648297</v>
      </c>
      <c r="M358" s="55">
        <f>$J$358-EFEITO!$K$358*EFEITO!$Y$358</f>
        <v>0</v>
      </c>
      <c r="N358" s="55">
        <f ca="1">$K$358-EFEITO!$M$358*EFEITO!$Z$358</f>
        <v>0</v>
      </c>
      <c r="O358" s="55">
        <f>$L$358-EFEITO!$O$358*EFEITO!$AA$358</f>
        <v>0</v>
      </c>
      <c r="P358" s="39"/>
      <c r="Q358" s="39"/>
      <c r="R358" s="39"/>
      <c r="S358" s="39"/>
      <c r="T358" s="39"/>
      <c r="U358" s="39"/>
      <c r="V358" s="39"/>
      <c r="W358" s="39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35" t="s">
        <v>21</v>
      </c>
      <c r="B359" s="35" t="s">
        <v>35</v>
      </c>
      <c r="C359" s="35" t="s">
        <v>23</v>
      </c>
      <c r="D359" s="35" t="s">
        <v>45</v>
      </c>
      <c r="E359" s="35" t="s">
        <v>25</v>
      </c>
      <c r="F359" s="35" t="s">
        <v>25</v>
      </c>
      <c r="G359" s="35" t="s">
        <v>25</v>
      </c>
      <c r="H359" s="35" t="s">
        <v>25</v>
      </c>
      <c r="I359" s="54">
        <v>44440</v>
      </c>
      <c r="J359" s="55">
        <f>EFEITO!$J$359*EFEITO!$Y$359</f>
        <v>0</v>
      </c>
      <c r="K359" s="55">
        <f ca="1">EFEITO!$L$359*EFEITO!$Z$359</f>
        <v>11088.287389068953</v>
      </c>
      <c r="L359" s="55">
        <f>EFEITO!$N$359*EFEITO!$AA$359</f>
        <v>3561.0677396807646</v>
      </c>
      <c r="M359" s="55">
        <f>$J$359-EFEITO!$K$359*EFEITO!$Y$359</f>
        <v>0</v>
      </c>
      <c r="N359" s="55">
        <f ca="1">$K$359-EFEITO!$M$359*EFEITO!$Z$359</f>
        <v>0</v>
      </c>
      <c r="O359" s="55">
        <f>$L$359-EFEITO!$O$359*EFEITO!$AA$359</f>
        <v>0</v>
      </c>
      <c r="P359" s="39"/>
      <c r="Q359" s="39"/>
      <c r="R359" s="39"/>
      <c r="S359" s="39"/>
      <c r="T359" s="39"/>
      <c r="U359" s="39"/>
      <c r="V359" s="39"/>
      <c r="W359" s="39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35" t="s">
        <v>21</v>
      </c>
      <c r="B360" s="35" t="s">
        <v>35</v>
      </c>
      <c r="C360" s="35" t="s">
        <v>23</v>
      </c>
      <c r="D360" s="35" t="s">
        <v>45</v>
      </c>
      <c r="E360" s="35" t="s">
        <v>25</v>
      </c>
      <c r="F360" s="35" t="s">
        <v>25</v>
      </c>
      <c r="G360" s="35" t="s">
        <v>25</v>
      </c>
      <c r="H360" s="35" t="s">
        <v>25</v>
      </c>
      <c r="I360" s="54">
        <v>44470</v>
      </c>
      <c r="J360" s="55">
        <f>EFEITO!$J$360*EFEITO!$Y$360</f>
        <v>0</v>
      </c>
      <c r="K360" s="55">
        <f ca="1">EFEITO!$L$360*EFEITO!$Z$360</f>
        <v>10723.247301286081</v>
      </c>
      <c r="L360" s="55">
        <f>EFEITO!$N$360*EFEITO!$AA$360</f>
        <v>3443.8330004752024</v>
      </c>
      <c r="M360" s="55">
        <f>$J$360-EFEITO!$K$360*EFEITO!$Y$360</f>
        <v>0</v>
      </c>
      <c r="N360" s="55">
        <f ca="1">$K$360-EFEITO!$M$360*EFEITO!$Z$360</f>
        <v>0</v>
      </c>
      <c r="O360" s="55">
        <f>$L$360-EFEITO!$O$360*EFEITO!$AA$360</f>
        <v>0</v>
      </c>
      <c r="P360" s="39"/>
      <c r="Q360" s="39"/>
      <c r="R360" s="39"/>
      <c r="S360" s="39"/>
      <c r="T360" s="39"/>
      <c r="U360" s="39"/>
      <c r="V360" s="39"/>
      <c r="W360" s="39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35" t="s">
        <v>21</v>
      </c>
      <c r="B361" s="35" t="s">
        <v>35</v>
      </c>
      <c r="C361" s="35" t="s">
        <v>23</v>
      </c>
      <c r="D361" s="35" t="s">
        <v>45</v>
      </c>
      <c r="E361" s="35" t="s">
        <v>25</v>
      </c>
      <c r="F361" s="35" t="s">
        <v>25</v>
      </c>
      <c r="G361" s="35" t="s">
        <v>25</v>
      </c>
      <c r="H361" s="35" t="s">
        <v>25</v>
      </c>
      <c r="I361" s="54">
        <v>44501</v>
      </c>
      <c r="J361" s="55">
        <f>EFEITO!$J$361*EFEITO!$Y$361</f>
        <v>0</v>
      </c>
      <c r="K361" s="55">
        <f ca="1">EFEITO!$L$361*EFEITO!$Z$361</f>
        <v>10781.404470321191</v>
      </c>
      <c r="L361" s="55">
        <f>EFEITO!$N$361*EFEITO!$AA$361</f>
        <v>3462.5105122689765</v>
      </c>
      <c r="M361" s="55">
        <f>$J$361-EFEITO!$K$361*EFEITO!$Y$361</f>
        <v>0</v>
      </c>
      <c r="N361" s="55">
        <f ca="1">$K$361-EFEITO!$M$361*EFEITO!$Z$361</f>
        <v>0</v>
      </c>
      <c r="O361" s="55">
        <f>$L$361-EFEITO!$O$361*EFEITO!$AA$361</f>
        <v>0</v>
      </c>
      <c r="P361" s="39"/>
      <c r="Q361" s="39"/>
      <c r="R361" s="39"/>
      <c r="S361" s="39"/>
      <c r="T361" s="39"/>
      <c r="U361" s="39"/>
      <c r="V361" s="39"/>
      <c r="W361" s="39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35" t="s">
        <v>21</v>
      </c>
      <c r="B362" s="35" t="s">
        <v>35</v>
      </c>
      <c r="C362" s="35" t="s">
        <v>23</v>
      </c>
      <c r="D362" s="35" t="s">
        <v>45</v>
      </c>
      <c r="E362" s="35" t="s">
        <v>25</v>
      </c>
      <c r="F362" s="35" t="s">
        <v>25</v>
      </c>
      <c r="G362" s="35" t="s">
        <v>25</v>
      </c>
      <c r="H362" s="35" t="s">
        <v>25</v>
      </c>
      <c r="I362" s="54">
        <v>44531</v>
      </c>
      <c r="J362" s="55">
        <f>EFEITO!$J$362*EFEITO!$Y$362</f>
        <v>0</v>
      </c>
      <c r="K362" s="55">
        <f ca="1">EFEITO!$L$362*EFEITO!$Z$362</f>
        <v>10050.805034317631</v>
      </c>
      <c r="L362" s="55">
        <f>EFEITO!$N$362*EFEITO!$AA$362</f>
        <v>3227.8742703596931</v>
      </c>
      <c r="M362" s="55">
        <f>$J$362-EFEITO!$K$362*EFEITO!$Y$362</f>
        <v>0</v>
      </c>
      <c r="N362" s="55">
        <f ca="1">$K$362-EFEITO!$M$362*EFEITO!$Z$362</f>
        <v>0</v>
      </c>
      <c r="O362" s="55">
        <f>$L$362-EFEITO!$O$362*EFEITO!$AA$362</f>
        <v>0</v>
      </c>
      <c r="P362" s="39"/>
      <c r="Q362" s="39"/>
      <c r="R362" s="39"/>
      <c r="S362" s="39"/>
      <c r="T362" s="39"/>
      <c r="U362" s="39"/>
      <c r="V362" s="39"/>
      <c r="W362" s="39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35" t="s">
        <v>21</v>
      </c>
      <c r="B363" s="35" t="s">
        <v>35</v>
      </c>
      <c r="C363" s="35" t="s">
        <v>23</v>
      </c>
      <c r="D363" s="35" t="s">
        <v>45</v>
      </c>
      <c r="E363" s="35" t="s">
        <v>25</v>
      </c>
      <c r="F363" s="35" t="s">
        <v>25</v>
      </c>
      <c r="G363" s="35" t="s">
        <v>25</v>
      </c>
      <c r="H363" s="35" t="s">
        <v>25</v>
      </c>
      <c r="I363" s="54">
        <v>44562</v>
      </c>
      <c r="J363" s="55">
        <f>EFEITO!$J$363*EFEITO!$Y$363</f>
        <v>0</v>
      </c>
      <c r="K363" s="55">
        <f ca="1">EFEITO!$L$363*EFEITO!$Z$363</f>
        <v>9470.2718648421633</v>
      </c>
      <c r="L363" s="55">
        <f>EFEITO!$N$363*EFEITO!$AA$363</f>
        <v>3041.4326794182721</v>
      </c>
      <c r="M363" s="55">
        <f>$J$363-EFEITO!$K$363*EFEITO!$Y$363</f>
        <v>0</v>
      </c>
      <c r="N363" s="55">
        <f ca="1">$K$363-EFEITO!$M$363*EFEITO!$Z$363</f>
        <v>0</v>
      </c>
      <c r="O363" s="55">
        <f>$L$363-EFEITO!$O$363*EFEITO!$AA$363</f>
        <v>0</v>
      </c>
      <c r="P363" s="39"/>
      <c r="Q363" s="39"/>
      <c r="R363" s="39"/>
      <c r="S363" s="39"/>
      <c r="T363" s="39"/>
      <c r="U363" s="39"/>
      <c r="V363" s="39"/>
      <c r="W363" s="39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35" t="s">
        <v>21</v>
      </c>
      <c r="B364" s="35" t="s">
        <v>35</v>
      </c>
      <c r="C364" s="35" t="s">
        <v>23</v>
      </c>
      <c r="D364" s="35" t="s">
        <v>45</v>
      </c>
      <c r="E364" s="35" t="s">
        <v>25</v>
      </c>
      <c r="F364" s="35" t="s">
        <v>25</v>
      </c>
      <c r="G364" s="35" t="s">
        <v>25</v>
      </c>
      <c r="H364" s="35" t="s">
        <v>25</v>
      </c>
      <c r="I364" s="54">
        <v>44593</v>
      </c>
      <c r="J364" s="55">
        <f>EFEITO!$J$364*EFEITO!$Y$364</f>
        <v>0</v>
      </c>
      <c r="K364" s="55">
        <f ca="1">EFEITO!$L$364*EFEITO!$Z$364</f>
        <v>10944.452247794621</v>
      </c>
      <c r="L364" s="55">
        <f>EFEITO!$N$364*EFEITO!$AA$364</f>
        <v>3514.8742506908065</v>
      </c>
      <c r="M364" s="55">
        <f>$J$364-EFEITO!$K$364*EFEITO!$Y$364</f>
        <v>0</v>
      </c>
      <c r="N364" s="55">
        <f ca="1">$K$364-EFEITO!$M$364*EFEITO!$Z$364</f>
        <v>0</v>
      </c>
      <c r="O364" s="55">
        <f>$L$364-EFEITO!$O$364*EFEITO!$AA$364</f>
        <v>0</v>
      </c>
      <c r="P364" s="39"/>
      <c r="Q364" s="39"/>
      <c r="R364" s="39"/>
      <c r="S364" s="39"/>
      <c r="T364" s="39"/>
      <c r="U364" s="39"/>
      <c r="V364" s="39"/>
      <c r="W364" s="39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35" t="s">
        <v>21</v>
      </c>
      <c r="B365" s="35" t="s">
        <v>35</v>
      </c>
      <c r="C365" s="35" t="s">
        <v>23</v>
      </c>
      <c r="D365" s="35" t="s">
        <v>45</v>
      </c>
      <c r="E365" s="35" t="s">
        <v>25</v>
      </c>
      <c r="F365" s="35" t="s">
        <v>25</v>
      </c>
      <c r="G365" s="35" t="s">
        <v>25</v>
      </c>
      <c r="H365" s="35" t="s">
        <v>25</v>
      </c>
      <c r="I365" s="54">
        <v>44621</v>
      </c>
      <c r="J365" s="55">
        <f>EFEITO!$J$365*EFEITO!$Y$365</f>
        <v>0</v>
      </c>
      <c r="K365" s="55">
        <f ca="1">EFEITO!$L$365*EFEITO!$Z$365</f>
        <v>15958.431035321539</v>
      </c>
      <c r="L365" s="55">
        <f>EFEITO!$N$365*EFEITO!$AA$365</f>
        <v>5125.1425889111615</v>
      </c>
      <c r="M365" s="55">
        <f>$J$365-EFEITO!$K$365*EFEITO!$Y$365</f>
        <v>0</v>
      </c>
      <c r="N365" s="55">
        <f ca="1">$K$365-EFEITO!$M$365*EFEITO!$Z$365</f>
        <v>0</v>
      </c>
      <c r="O365" s="55">
        <f>$L$365-EFEITO!$O$365*EFEITO!$AA$365</f>
        <v>0</v>
      </c>
      <c r="P365" s="39"/>
      <c r="Q365" s="39"/>
      <c r="R365" s="39"/>
      <c r="S365" s="39"/>
      <c r="T365" s="39"/>
      <c r="U365" s="39"/>
      <c r="V365" s="39"/>
      <c r="W365" s="39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35" t="s">
        <v>21</v>
      </c>
      <c r="B366" s="35" t="s">
        <v>35</v>
      </c>
      <c r="C366" s="35" t="s">
        <v>23</v>
      </c>
      <c r="D366" s="35" t="s">
        <v>45</v>
      </c>
      <c r="E366" s="35" t="s">
        <v>25</v>
      </c>
      <c r="F366" s="35" t="s">
        <v>25</v>
      </c>
      <c r="G366" s="35" t="s">
        <v>25</v>
      </c>
      <c r="H366" s="35" t="s">
        <v>25</v>
      </c>
      <c r="I366" s="54">
        <v>44652</v>
      </c>
      <c r="J366" s="55">
        <f>EFEITO!$J$366*EFEITO!$Y$366</f>
        <v>0</v>
      </c>
      <c r="K366" s="55">
        <f ca="1">EFEITO!$L$366*EFEITO!$Z$366</f>
        <v>13017.339915546014</v>
      </c>
      <c r="L366" s="55">
        <f>EFEITO!$N$366*EFEITO!$AA$366</f>
        <v>4180.594135340315</v>
      </c>
      <c r="M366" s="55">
        <f>$J$366-EFEITO!$K$366*EFEITO!$Y$366</f>
        <v>0</v>
      </c>
      <c r="N366" s="55">
        <f ca="1">$K$366-EFEITO!$M$366*EFEITO!$Z$366</f>
        <v>0</v>
      </c>
      <c r="O366" s="55">
        <f>$L$366-EFEITO!$O$366*EFEITO!$AA$366</f>
        <v>0</v>
      </c>
      <c r="P366" s="39"/>
      <c r="Q366" s="39"/>
      <c r="R366" s="39"/>
      <c r="S366" s="39"/>
      <c r="T366" s="39"/>
      <c r="U366" s="39"/>
      <c r="V366" s="39"/>
      <c r="W366" s="39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35" t="s">
        <v>21</v>
      </c>
      <c r="B367" s="35" t="s">
        <v>35</v>
      </c>
      <c r="C367" s="35" t="s">
        <v>23</v>
      </c>
      <c r="D367" s="35" t="s">
        <v>45</v>
      </c>
      <c r="E367" s="35" t="s">
        <v>25</v>
      </c>
      <c r="F367" s="35" t="s">
        <v>25</v>
      </c>
      <c r="G367" s="35" t="s">
        <v>25</v>
      </c>
      <c r="H367" s="35" t="s">
        <v>25</v>
      </c>
      <c r="I367" s="54">
        <v>44682</v>
      </c>
      <c r="J367" s="55">
        <f>EFEITO!$J$367*EFEITO!$Y$367</f>
        <v>0</v>
      </c>
      <c r="K367" s="55">
        <f ca="1">EFEITO!$L$367*EFEITO!$Z$367</f>
        <v>11387.900661687328</v>
      </c>
      <c r="L367" s="55">
        <f>EFEITO!$N$367*EFEITO!$AA$367</f>
        <v>3657.2902781183316</v>
      </c>
      <c r="M367" s="55">
        <f>$J$367-EFEITO!$K$367*EFEITO!$Y$367</f>
        <v>0</v>
      </c>
      <c r="N367" s="55">
        <f ca="1">$K$367-EFEITO!$M$367*EFEITO!$Z$367</f>
        <v>0</v>
      </c>
      <c r="O367" s="55">
        <f>$L$367-EFEITO!$O$367*EFEITO!$AA$367</f>
        <v>0</v>
      </c>
      <c r="P367" s="39"/>
      <c r="Q367" s="39"/>
      <c r="R367" s="39"/>
      <c r="S367" s="39"/>
      <c r="T367" s="39"/>
      <c r="U367" s="39"/>
      <c r="V367" s="39"/>
      <c r="W367" s="39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35" t="s">
        <v>21</v>
      </c>
      <c r="B368" s="35" t="s">
        <v>35</v>
      </c>
      <c r="C368" s="35" t="s">
        <v>23</v>
      </c>
      <c r="D368" s="35" t="s">
        <v>45</v>
      </c>
      <c r="E368" s="35" t="s">
        <v>25</v>
      </c>
      <c r="F368" s="35" t="s">
        <v>25</v>
      </c>
      <c r="G368" s="35" t="s">
        <v>25</v>
      </c>
      <c r="H368" s="35" t="s">
        <v>25</v>
      </c>
      <c r="I368" s="54">
        <v>44713</v>
      </c>
      <c r="J368" s="55">
        <f>EFEITO!$J$368*EFEITO!$Y$368</f>
        <v>0</v>
      </c>
      <c r="K368" s="55">
        <f ca="1">EFEITO!$L$368*EFEITO!$Z$368</f>
        <v>12256.623374149272</v>
      </c>
      <c r="L368" s="55">
        <f>EFEITO!$N$368*EFEITO!$AA$368</f>
        <v>3936.2856105378273</v>
      </c>
      <c r="M368" s="55">
        <f>$J$368-EFEITO!$K$368*EFEITO!$Y$368</f>
        <v>0</v>
      </c>
      <c r="N368" s="55">
        <f ca="1">$K$368-EFEITO!$M$368*EFEITO!$Z$368</f>
        <v>0</v>
      </c>
      <c r="O368" s="55">
        <f>$L$368-EFEITO!$O$368*EFEITO!$AA$368</f>
        <v>0</v>
      </c>
      <c r="P368" s="39"/>
      <c r="Q368" s="39"/>
      <c r="R368" s="39"/>
      <c r="S368" s="39"/>
      <c r="T368" s="39"/>
      <c r="U368" s="39"/>
      <c r="V368" s="39"/>
      <c r="W368" s="39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35" t="s">
        <v>21</v>
      </c>
      <c r="B369" s="35" t="s">
        <v>35</v>
      </c>
      <c r="C369" s="35" t="s">
        <v>23</v>
      </c>
      <c r="D369" s="35" t="s">
        <v>45</v>
      </c>
      <c r="E369" s="35" t="s">
        <v>25</v>
      </c>
      <c r="F369" s="35" t="s">
        <v>25</v>
      </c>
      <c r="G369" s="35" t="s">
        <v>25</v>
      </c>
      <c r="H369" s="35" t="s">
        <v>25</v>
      </c>
      <c r="I369" s="54">
        <v>44743</v>
      </c>
      <c r="J369" s="55">
        <f>EFEITO!$J$369*EFEITO!$Y$369</f>
        <v>0</v>
      </c>
      <c r="K369" s="55">
        <f ca="1">EFEITO!$L$369*EFEITO!$Z$369</f>
        <v>11008.321281645678</v>
      </c>
      <c r="L369" s="55">
        <f>EFEITO!$N$369*EFEITO!$AA$369</f>
        <v>3535.3861609643254</v>
      </c>
      <c r="M369" s="55">
        <f>$J$369-EFEITO!$K$369*EFEITO!$Y$369</f>
        <v>0</v>
      </c>
      <c r="N369" s="55">
        <f ca="1">$K$369-EFEITO!$M$369*EFEITO!$Z$369</f>
        <v>0</v>
      </c>
      <c r="O369" s="55">
        <f>$L$369-EFEITO!$O$369*EFEITO!$AA$369</f>
        <v>0</v>
      </c>
      <c r="P369" s="39"/>
      <c r="Q369" s="39"/>
      <c r="R369" s="39"/>
      <c r="S369" s="39"/>
      <c r="T369" s="39"/>
      <c r="U369" s="39"/>
      <c r="V369" s="39"/>
      <c r="W369" s="39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35" t="s">
        <v>21</v>
      </c>
      <c r="B370" s="35" t="s">
        <v>35</v>
      </c>
      <c r="C370" s="35" t="s">
        <v>23</v>
      </c>
      <c r="D370" s="35" t="s">
        <v>45</v>
      </c>
      <c r="E370" s="35" t="s">
        <v>25</v>
      </c>
      <c r="F370" s="35" t="s">
        <v>25</v>
      </c>
      <c r="G370" s="35" t="s">
        <v>25</v>
      </c>
      <c r="H370" s="35" t="s">
        <v>25</v>
      </c>
      <c r="I370" s="54">
        <v>44774</v>
      </c>
      <c r="J370" s="55">
        <f>EFEITO!$J$370*EFEITO!$Y$370</f>
        <v>0</v>
      </c>
      <c r="K370" s="55">
        <f ca="1">EFEITO!$L$370*EFEITO!$Z$370</f>
        <v>10956.395237864332</v>
      </c>
      <c r="L370" s="55">
        <f>EFEITO!$N$370*EFEITO!$AA$370</f>
        <v>3518.7098111484565</v>
      </c>
      <c r="M370" s="55">
        <f>$J$370-EFEITO!$K$370*EFEITO!$Y$370</f>
        <v>0</v>
      </c>
      <c r="N370" s="55">
        <f ca="1">$K$370-EFEITO!$M$370*EFEITO!$Z$370</f>
        <v>0</v>
      </c>
      <c r="O370" s="55">
        <f>$L$370-EFEITO!$O$370*EFEITO!$AA$370</f>
        <v>0</v>
      </c>
      <c r="P370" s="39"/>
      <c r="Q370" s="39"/>
      <c r="R370" s="39"/>
      <c r="S370" s="39"/>
      <c r="T370" s="39"/>
      <c r="U370" s="39"/>
      <c r="V370" s="39"/>
      <c r="W370" s="39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35" t="s">
        <v>21</v>
      </c>
      <c r="B371" s="35" t="s">
        <v>35</v>
      </c>
      <c r="C371" s="35" t="s">
        <v>23</v>
      </c>
      <c r="D371" s="35" t="s">
        <v>50</v>
      </c>
      <c r="E371" s="35" t="s">
        <v>51</v>
      </c>
      <c r="F371" s="35" t="s">
        <v>25</v>
      </c>
      <c r="G371" s="35" t="s">
        <v>25</v>
      </c>
      <c r="H371" s="35" t="s">
        <v>25</v>
      </c>
      <c r="I371" s="54">
        <v>44440</v>
      </c>
      <c r="J371" s="55">
        <f>EFEITO!$J$371*EFEITO!$Y$370</f>
        <v>0</v>
      </c>
      <c r="K371" s="55">
        <f ca="1">EFEITO!$L$371*EFEITO!$Z$370</f>
        <v>4600.6474790273915</v>
      </c>
      <c r="L371" s="55">
        <f>EFEITO!$N$371*EFEITO!$AA$370</f>
        <v>1477.524593686034</v>
      </c>
      <c r="M371" s="55">
        <f>$J$371-EFEITO!$K$371*EFEITO!$Y$371</f>
        <v>0</v>
      </c>
      <c r="N371" s="55">
        <f ca="1">$K$371-EFEITO!$M$371*EFEITO!$Z$371</f>
        <v>138.01942437082198</v>
      </c>
      <c r="O371" s="55">
        <f>$L$371-EFEITO!$O$371*EFEITO!$AA$371</f>
        <v>44.325737810580904</v>
      </c>
      <c r="P371" s="39"/>
      <c r="Q371" s="39"/>
      <c r="R371" s="39"/>
      <c r="S371" s="39"/>
      <c r="T371" s="39"/>
      <c r="U371" s="39"/>
      <c r="V371" s="39"/>
      <c r="W371" s="39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35" t="s">
        <v>21</v>
      </c>
      <c r="B372" s="35" t="s">
        <v>35</v>
      </c>
      <c r="C372" s="35" t="s">
        <v>23</v>
      </c>
      <c r="D372" s="35" t="s">
        <v>50</v>
      </c>
      <c r="E372" s="35" t="s">
        <v>51</v>
      </c>
      <c r="F372" s="35" t="s">
        <v>25</v>
      </c>
      <c r="G372" s="35" t="s">
        <v>25</v>
      </c>
      <c r="H372" s="35" t="s">
        <v>25</v>
      </c>
      <c r="I372" s="54">
        <v>44470</v>
      </c>
      <c r="J372" s="55">
        <f>EFEITO!$J$372*EFEITO!$Y$370</f>
        <v>0</v>
      </c>
      <c r="K372" s="55">
        <f ca="1">EFEITO!$L$372*EFEITO!$Z$370</f>
        <v>4383.5966160213593</v>
      </c>
      <c r="L372" s="55">
        <f>EFEITO!$N$372*EFEITO!$AA$370</f>
        <v>1407.8174514556999</v>
      </c>
      <c r="M372" s="55">
        <f>$J$372-EFEITO!$K$372*EFEITO!$Y$372</f>
        <v>0</v>
      </c>
      <c r="N372" s="55">
        <f ca="1">$K$372-EFEITO!$M$372*EFEITO!$Z$372</f>
        <v>131.50789848064051</v>
      </c>
      <c r="O372" s="55">
        <f>$L$372-EFEITO!$O$372*EFEITO!$AA$372</f>
        <v>42.234523543671003</v>
      </c>
      <c r="P372" s="39"/>
      <c r="Q372" s="39"/>
      <c r="R372" s="39"/>
      <c r="S372" s="39"/>
      <c r="T372" s="39"/>
      <c r="U372" s="39"/>
      <c r="V372" s="39"/>
      <c r="W372" s="39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35" t="s">
        <v>21</v>
      </c>
      <c r="B373" s="35" t="s">
        <v>35</v>
      </c>
      <c r="C373" s="35" t="s">
        <v>23</v>
      </c>
      <c r="D373" s="35" t="s">
        <v>50</v>
      </c>
      <c r="E373" s="35" t="s">
        <v>51</v>
      </c>
      <c r="F373" s="35" t="s">
        <v>25</v>
      </c>
      <c r="G373" s="35" t="s">
        <v>25</v>
      </c>
      <c r="H373" s="35" t="s">
        <v>25</v>
      </c>
      <c r="I373" s="54">
        <v>44501</v>
      </c>
      <c r="J373" s="55">
        <f>EFEITO!$J$373*EFEITO!$Y$370</f>
        <v>0</v>
      </c>
      <c r="K373" s="55">
        <f ca="1">EFEITO!$L$373*EFEITO!$Z$370</f>
        <v>3853.9509694516141</v>
      </c>
      <c r="L373" s="55">
        <f>EFEITO!$N$373*EFEITO!$AA$370</f>
        <v>1237.7186833338312</v>
      </c>
      <c r="M373" s="55">
        <f>$J$373-EFEITO!$K$373*EFEITO!$Y$373</f>
        <v>0</v>
      </c>
      <c r="N373" s="55">
        <f ca="1">$K$373-EFEITO!$M$373*EFEITO!$Z$373</f>
        <v>115.61852908354831</v>
      </c>
      <c r="O373" s="55">
        <f>$L$373-EFEITO!$O$373*EFEITO!$AA$373</f>
        <v>37.131560500014984</v>
      </c>
      <c r="P373" s="39"/>
      <c r="Q373" s="39"/>
      <c r="R373" s="39"/>
      <c r="S373" s="39"/>
      <c r="T373" s="39"/>
      <c r="U373" s="39"/>
      <c r="V373" s="39"/>
      <c r="W373" s="39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35" t="s">
        <v>21</v>
      </c>
      <c r="B374" s="35" t="s">
        <v>35</v>
      </c>
      <c r="C374" s="35" t="s">
        <v>23</v>
      </c>
      <c r="D374" s="35" t="s">
        <v>50</v>
      </c>
      <c r="E374" s="35" t="s">
        <v>51</v>
      </c>
      <c r="F374" s="35" t="s">
        <v>25</v>
      </c>
      <c r="G374" s="35" t="s">
        <v>25</v>
      </c>
      <c r="H374" s="35" t="s">
        <v>25</v>
      </c>
      <c r="I374" s="54">
        <v>44531</v>
      </c>
      <c r="J374" s="55">
        <f>EFEITO!$J$374*EFEITO!$Y$370</f>
        <v>0</v>
      </c>
      <c r="K374" s="55">
        <f ca="1">EFEITO!$L$374*EFEITO!$Z$370</f>
        <v>3577.7044165348452</v>
      </c>
      <c r="L374" s="55">
        <f>EFEITO!$N$374*EFEITO!$AA$370</f>
        <v>1149.0005023134058</v>
      </c>
      <c r="M374" s="55">
        <f>$J$374-EFEITO!$K$374*EFEITO!$Y$374</f>
        <v>0</v>
      </c>
      <c r="N374" s="55">
        <f ca="1">$K$374-EFEITO!$M$374*EFEITO!$Z$374</f>
        <v>107.33113249604548</v>
      </c>
      <c r="O374" s="55">
        <f>$L$374-EFEITO!$O$374*EFEITO!$AA$374</f>
        <v>34.47001506940228</v>
      </c>
      <c r="P374" s="39"/>
      <c r="Q374" s="39"/>
      <c r="R374" s="39"/>
      <c r="S374" s="39"/>
      <c r="T374" s="39"/>
      <c r="U374" s="39"/>
      <c r="V374" s="39"/>
      <c r="W374" s="39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35" t="s">
        <v>21</v>
      </c>
      <c r="B375" s="35" t="s">
        <v>35</v>
      </c>
      <c r="C375" s="35" t="s">
        <v>23</v>
      </c>
      <c r="D375" s="35" t="s">
        <v>50</v>
      </c>
      <c r="E375" s="35" t="s">
        <v>51</v>
      </c>
      <c r="F375" s="35" t="s">
        <v>25</v>
      </c>
      <c r="G375" s="35" t="s">
        <v>25</v>
      </c>
      <c r="H375" s="35" t="s">
        <v>25</v>
      </c>
      <c r="I375" s="54">
        <v>44562</v>
      </c>
      <c r="J375" s="55">
        <f>EFEITO!$J$375*EFEITO!$Y$370</f>
        <v>0</v>
      </c>
      <c r="K375" s="55">
        <f ca="1">EFEITO!$L$375*EFEITO!$Z$370</f>
        <v>3278.0911439164702</v>
      </c>
      <c r="L375" s="55">
        <f>EFEITO!$N$375*EFEITO!$AA$370</f>
        <v>1052.7779638758391</v>
      </c>
      <c r="M375" s="55">
        <f>$J$375-EFEITO!$K$375*EFEITO!$Y$375</f>
        <v>0</v>
      </c>
      <c r="N375" s="55">
        <f ca="1">$K$375-EFEITO!$M$375*EFEITO!$Z$375</f>
        <v>98.342734317494433</v>
      </c>
      <c r="O375" s="55">
        <f>$L$375-EFEITO!$O$375*EFEITO!$AA$375</f>
        <v>31.583338916275352</v>
      </c>
      <c r="P375" s="39"/>
      <c r="Q375" s="39"/>
      <c r="R375" s="39"/>
      <c r="S375" s="39"/>
      <c r="T375" s="39"/>
      <c r="U375" s="39"/>
      <c r="V375" s="39"/>
      <c r="W375" s="39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35" t="s">
        <v>21</v>
      </c>
      <c r="B376" s="35" t="s">
        <v>35</v>
      </c>
      <c r="C376" s="35" t="s">
        <v>23</v>
      </c>
      <c r="D376" s="35" t="s">
        <v>50</v>
      </c>
      <c r="E376" s="35" t="s">
        <v>51</v>
      </c>
      <c r="F376" s="35" t="s">
        <v>25</v>
      </c>
      <c r="G376" s="35" t="s">
        <v>25</v>
      </c>
      <c r="H376" s="35" t="s">
        <v>25</v>
      </c>
      <c r="I376" s="54">
        <v>44593</v>
      </c>
      <c r="J376" s="55">
        <f>EFEITO!$J$376*EFEITO!$Y$370</f>
        <v>0</v>
      </c>
      <c r="K376" s="55">
        <f ca="1">EFEITO!$L$376*EFEITO!$Z$370</f>
        <v>2242.6858309164004</v>
      </c>
      <c r="L376" s="55">
        <f>EFEITO!$N$376*EFEITO!$AA$370</f>
        <v>720.25154854740197</v>
      </c>
      <c r="M376" s="55">
        <f>$J$376-EFEITO!$K$376*EFEITO!$Y$376</f>
        <v>0</v>
      </c>
      <c r="N376" s="55">
        <f ca="1">$K$376-EFEITO!$M$376*EFEITO!$Z$376</f>
        <v>67.280574927492125</v>
      </c>
      <c r="O376" s="55">
        <f>$L$376-EFEITO!$O$376*EFEITO!$AA$376</f>
        <v>21.607546456422028</v>
      </c>
      <c r="P376" s="39"/>
      <c r="Q376" s="39"/>
      <c r="R376" s="39"/>
      <c r="S376" s="39"/>
      <c r="T376" s="39"/>
      <c r="U376" s="39"/>
      <c r="V376" s="39"/>
      <c r="W376" s="39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35" t="s">
        <v>21</v>
      </c>
      <c r="B377" s="35" t="s">
        <v>35</v>
      </c>
      <c r="C377" s="35" t="s">
        <v>23</v>
      </c>
      <c r="D377" s="35" t="s">
        <v>50</v>
      </c>
      <c r="E377" s="35" t="s">
        <v>51</v>
      </c>
      <c r="F377" s="35" t="s">
        <v>25</v>
      </c>
      <c r="G377" s="35" t="s">
        <v>25</v>
      </c>
      <c r="H377" s="35" t="s">
        <v>25</v>
      </c>
      <c r="I377" s="54">
        <v>44621</v>
      </c>
      <c r="J377" s="55">
        <f>EFEITO!$J$377*EFEITO!$Y$370</f>
        <v>0</v>
      </c>
      <c r="K377" s="55">
        <f ca="1">EFEITO!$L$377*EFEITO!$Z$370</f>
        <v>1692.2697668341164</v>
      </c>
      <c r="L377" s="55">
        <f>EFEITO!$N$377*EFEITO!$AA$370</f>
        <v>543.48224049918565</v>
      </c>
      <c r="M377" s="55">
        <f>$J$377-EFEITO!$K$377*EFEITO!$Y$377</f>
        <v>0</v>
      </c>
      <c r="N377" s="55">
        <f ca="1">$K$377-EFEITO!$M$377*EFEITO!$Z$377</f>
        <v>50.768093005023502</v>
      </c>
      <c r="O377" s="55">
        <f>$L$377-EFEITO!$O$377*EFEITO!$AA$377</f>
        <v>16.304467214975489</v>
      </c>
      <c r="P377" s="39"/>
      <c r="Q377" s="39"/>
      <c r="R377" s="39"/>
      <c r="S377" s="39"/>
      <c r="T377" s="39"/>
      <c r="U377" s="39"/>
      <c r="V377" s="39"/>
      <c r="W377" s="39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35" t="s">
        <v>21</v>
      </c>
      <c r="B378" s="35" t="s">
        <v>35</v>
      </c>
      <c r="C378" s="35" t="s">
        <v>23</v>
      </c>
      <c r="D378" s="35" t="s">
        <v>50</v>
      </c>
      <c r="E378" s="35" t="s">
        <v>51</v>
      </c>
      <c r="F378" s="35" t="s">
        <v>25</v>
      </c>
      <c r="G378" s="35" t="s">
        <v>25</v>
      </c>
      <c r="H378" s="35" t="s">
        <v>25</v>
      </c>
      <c r="I378" s="54">
        <v>44652</v>
      </c>
      <c r="J378" s="55">
        <f>EFEITO!$J$378*EFEITO!$Y$370</f>
        <v>0</v>
      </c>
      <c r="K378" s="55">
        <f ca="1">EFEITO!$L$378*EFEITO!$Z$370</f>
        <v>1824.161918038739</v>
      </c>
      <c r="L378" s="55">
        <f>EFEITO!$N$378*EFEITO!$AA$370</f>
        <v>585.84016903149416</v>
      </c>
      <c r="M378" s="55">
        <f>$J$378-EFEITO!$K$378*EFEITO!$Y$378</f>
        <v>0</v>
      </c>
      <c r="N378" s="55">
        <f ca="1">$K$378-EFEITO!$M$378*EFEITO!$Z$378</f>
        <v>54.724857541162237</v>
      </c>
      <c r="O378" s="55">
        <f>$L$378-EFEITO!$O$378*EFEITO!$AA$378</f>
        <v>17.575205070944889</v>
      </c>
      <c r="P378" s="39"/>
      <c r="Q378" s="39"/>
      <c r="R378" s="39"/>
      <c r="S378" s="39"/>
      <c r="T378" s="39"/>
      <c r="U378" s="39"/>
      <c r="V378" s="39"/>
      <c r="W378" s="39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35" t="s">
        <v>21</v>
      </c>
      <c r="B379" s="35" t="s">
        <v>35</v>
      </c>
      <c r="C379" s="35" t="s">
        <v>23</v>
      </c>
      <c r="D379" s="35" t="s">
        <v>50</v>
      </c>
      <c r="E379" s="35" t="s">
        <v>51</v>
      </c>
      <c r="F379" s="35" t="s">
        <v>25</v>
      </c>
      <c r="G379" s="35" t="s">
        <v>25</v>
      </c>
      <c r="H379" s="35" t="s">
        <v>25</v>
      </c>
      <c r="I379" s="54">
        <v>44682</v>
      </c>
      <c r="J379" s="55">
        <f>EFEITO!$J$379*EFEITO!$Y$370</f>
        <v>0</v>
      </c>
      <c r="K379" s="55">
        <f ca="1">EFEITO!$L$379*EFEITO!$Z$370</f>
        <v>2268.1295923692605</v>
      </c>
      <c r="L379" s="55">
        <f>EFEITO!$N$379*EFEITO!$AA$370</f>
        <v>728.42295995717802</v>
      </c>
      <c r="M379" s="55">
        <f>$J$379-EFEITO!$K$379*EFEITO!$Y$379</f>
        <v>0</v>
      </c>
      <c r="N379" s="55">
        <f ca="1">$K$379-EFEITO!$M$379*EFEITO!$Z$379</f>
        <v>68.043887771077607</v>
      </c>
      <c r="O379" s="55">
        <f>$L$379-EFEITO!$O$379*EFEITO!$AA$379</f>
        <v>21.852688798715349</v>
      </c>
      <c r="P379" s="39"/>
      <c r="Q379" s="39"/>
      <c r="R379" s="39"/>
      <c r="S379" s="39"/>
      <c r="T379" s="39"/>
      <c r="U379" s="39"/>
      <c r="V379" s="39"/>
      <c r="W379" s="39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1.25" customHeight="1" x14ac:dyDescent="0.2">
      <c r="A380" s="35" t="s">
        <v>21</v>
      </c>
      <c r="B380" s="35" t="s">
        <v>35</v>
      </c>
      <c r="C380" s="35" t="s">
        <v>23</v>
      </c>
      <c r="D380" s="35" t="s">
        <v>50</v>
      </c>
      <c r="E380" s="35" t="s">
        <v>51</v>
      </c>
      <c r="F380" s="35" t="s">
        <v>25</v>
      </c>
      <c r="G380" s="35" t="s">
        <v>25</v>
      </c>
      <c r="H380" s="35" t="s">
        <v>25</v>
      </c>
      <c r="I380" s="54">
        <v>44713</v>
      </c>
      <c r="J380" s="55">
        <f>EFEITO!$J$380*EFEITO!$Y$370</f>
        <v>0</v>
      </c>
      <c r="K380" s="55">
        <f ca="1">EFEITO!$L$380*EFEITO!$Z$370</f>
        <v>2042.7705623582124</v>
      </c>
      <c r="L380" s="55">
        <f>EFEITO!$N$380*EFEITO!$AA$370</f>
        <v>656.04760175630463</v>
      </c>
      <c r="M380" s="55">
        <f>$J$380-EFEITO!$K$380*EFEITO!$Y$380</f>
        <v>0</v>
      </c>
      <c r="N380" s="55">
        <f ca="1">$K$380-EFEITO!$M$380*EFEITO!$Z$380</f>
        <v>61.283116870746426</v>
      </c>
      <c r="O380" s="55">
        <f>$L$380-EFEITO!$O$380*EFEITO!$AA$380</f>
        <v>19.681428052689171</v>
      </c>
      <c r="P380" s="39"/>
      <c r="Q380" s="39"/>
      <c r="R380" s="39"/>
      <c r="S380" s="39"/>
      <c r="T380" s="39"/>
      <c r="U380" s="39"/>
      <c r="V380" s="39"/>
      <c r="W380" s="39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1.25" customHeight="1" x14ac:dyDescent="0.2">
      <c r="A381" s="35" t="s">
        <v>21</v>
      </c>
      <c r="B381" s="35" t="s">
        <v>35</v>
      </c>
      <c r="C381" s="35" t="s">
        <v>23</v>
      </c>
      <c r="D381" s="35" t="s">
        <v>50</v>
      </c>
      <c r="E381" s="35" t="s">
        <v>51</v>
      </c>
      <c r="F381" s="35" t="s">
        <v>25</v>
      </c>
      <c r="G381" s="35" t="s">
        <v>25</v>
      </c>
      <c r="H381" s="35" t="s">
        <v>25</v>
      </c>
      <c r="I381" s="54">
        <v>44743</v>
      </c>
      <c r="J381" s="55">
        <f>EFEITO!$J$381*EFEITO!$Y$370</f>
        <v>0</v>
      </c>
      <c r="K381" s="55">
        <f ca="1">EFEITO!$L$381*EFEITO!$Z$370</f>
        <v>1891.6657749544906</v>
      </c>
      <c r="L381" s="55">
        <f>EFEITO!$N$381*EFEITO!$AA$370</f>
        <v>607.51942379212437</v>
      </c>
      <c r="M381" s="55">
        <f>$J$381-EFEITO!$K$381*EFEITO!$Y$381</f>
        <v>0</v>
      </c>
      <c r="N381" s="55">
        <f ca="1">$K$381-EFEITO!$M$381*EFEITO!$Z$381</f>
        <v>56.74997324863466</v>
      </c>
      <c r="O381" s="55">
        <f>$L$381-EFEITO!$O$381*EFEITO!$AA$381</f>
        <v>18.225582713763743</v>
      </c>
      <c r="P381" s="39"/>
      <c r="Q381" s="39"/>
      <c r="R381" s="39"/>
      <c r="S381" s="39"/>
      <c r="T381" s="39"/>
      <c r="U381" s="39"/>
      <c r="V381" s="39"/>
      <c r="W381" s="39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1.25" customHeight="1" x14ac:dyDescent="0.2">
      <c r="A382" s="35" t="s">
        <v>21</v>
      </c>
      <c r="B382" s="35" t="s">
        <v>35</v>
      </c>
      <c r="C382" s="35" t="s">
        <v>23</v>
      </c>
      <c r="D382" s="35" t="s">
        <v>50</v>
      </c>
      <c r="E382" s="35" t="s">
        <v>51</v>
      </c>
      <c r="F382" s="35" t="s">
        <v>25</v>
      </c>
      <c r="G382" s="35" t="s">
        <v>25</v>
      </c>
      <c r="H382" s="35" t="s">
        <v>25</v>
      </c>
      <c r="I382" s="54">
        <v>44774</v>
      </c>
      <c r="J382" s="55">
        <f>EFEITO!$J$382*EFEITO!$Y$370</f>
        <v>0</v>
      </c>
      <c r="K382" s="55">
        <f ca="1">EFEITO!$L$382*EFEITO!$Z$370</f>
        <v>1879.722784884781</v>
      </c>
      <c r="L382" s="55">
        <f>EFEITO!$N$382*EFEITO!$AA$370</f>
        <v>603.68386333447449</v>
      </c>
      <c r="M382" s="55">
        <f>$J$382-EFEITO!$K$382*EFEITO!$Y$382</f>
        <v>0</v>
      </c>
      <c r="N382" s="55">
        <f ca="1">$K$382-EFEITO!$M$382*EFEITO!$Z$382</f>
        <v>56.391683546543618</v>
      </c>
      <c r="O382" s="55">
        <f>$L$382-EFEITO!$O$382*EFEITO!$AA$382</f>
        <v>18.110515900034216</v>
      </c>
      <c r="P382" s="39"/>
      <c r="Q382" s="39"/>
      <c r="R382" s="39"/>
      <c r="S382" s="39"/>
      <c r="T382" s="39"/>
      <c r="U382" s="39"/>
      <c r="V382" s="39"/>
      <c r="W382" s="39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1.25" customHeight="1" x14ac:dyDescent="0.2">
      <c r="A383" s="35" t="s">
        <v>21</v>
      </c>
      <c r="B383" s="35" t="s">
        <v>35</v>
      </c>
      <c r="C383" s="35" t="s">
        <v>23</v>
      </c>
      <c r="D383" s="35" t="s">
        <v>50</v>
      </c>
      <c r="E383" s="35" t="s">
        <v>53</v>
      </c>
      <c r="F383" s="35" t="s">
        <v>25</v>
      </c>
      <c r="G383" s="35" t="s">
        <v>25</v>
      </c>
      <c r="H383" s="35" t="s">
        <v>25</v>
      </c>
      <c r="I383" s="54">
        <v>44440</v>
      </c>
      <c r="J383" s="55">
        <f>EFEITO!$J$383*EFEITO!$Y$383</f>
        <v>0</v>
      </c>
      <c r="K383" s="55">
        <f ca="1">EFEITO!$L$383*EFEITO!$Z$383</f>
        <v>15.577813134404261</v>
      </c>
      <c r="L383" s="55">
        <f>EFEITO!$N$383*EFEITO!$AA$383</f>
        <v>5.0029049447608376</v>
      </c>
      <c r="M383" s="55">
        <f>$J$383-EFEITO!$K$383*EFEITO!$Y$383</f>
        <v>0</v>
      </c>
      <c r="N383" s="55">
        <f ca="1">$K$383-EFEITO!$M$383*EFEITO!$Z$383</f>
        <v>0</v>
      </c>
      <c r="O383" s="55">
        <f>$L$383-EFEITO!$O$383*EFEITO!$AA$383</f>
        <v>0</v>
      </c>
      <c r="P383" s="39"/>
      <c r="Q383" s="39"/>
      <c r="R383" s="39"/>
      <c r="S383" s="39"/>
      <c r="T383" s="39"/>
      <c r="U383" s="39"/>
      <c r="V383" s="39"/>
      <c r="W383" s="39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1.25" customHeight="1" x14ac:dyDescent="0.2">
      <c r="A384" s="35" t="s">
        <v>21</v>
      </c>
      <c r="B384" s="35" t="s">
        <v>35</v>
      </c>
      <c r="C384" s="35" t="s">
        <v>23</v>
      </c>
      <c r="D384" s="35" t="s">
        <v>50</v>
      </c>
      <c r="E384" s="35" t="s">
        <v>53</v>
      </c>
      <c r="F384" s="35" t="s">
        <v>25</v>
      </c>
      <c r="G384" s="35" t="s">
        <v>25</v>
      </c>
      <c r="H384" s="35" t="s">
        <v>25</v>
      </c>
      <c r="I384" s="54">
        <v>44470</v>
      </c>
      <c r="J384" s="55">
        <f>EFEITO!$J$384*EFEITO!$Y$384</f>
        <v>0</v>
      </c>
      <c r="K384" s="55">
        <f ca="1">EFEITO!$L$384*EFEITO!$Z$384</f>
        <v>30.117105393181575</v>
      </c>
      <c r="L384" s="55">
        <f>EFEITO!$N$384*EFEITO!$AA$384</f>
        <v>9.6722828932042866</v>
      </c>
      <c r="M384" s="55">
        <f>$J$384-EFEITO!$K$384*EFEITO!$Y$384</f>
        <v>0</v>
      </c>
      <c r="N384" s="55">
        <f ca="1">$K$384-EFEITO!$M$384*EFEITO!$Z$384</f>
        <v>0</v>
      </c>
      <c r="O384" s="55">
        <f>$L$384-EFEITO!$O$384*EFEITO!$AA$384</f>
        <v>0</v>
      </c>
      <c r="P384" s="39"/>
      <c r="Q384" s="39"/>
      <c r="R384" s="39"/>
      <c r="S384" s="39"/>
      <c r="T384" s="39"/>
      <c r="U384" s="39"/>
      <c r="V384" s="39"/>
      <c r="W384" s="39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1.25" customHeight="1" x14ac:dyDescent="0.2">
      <c r="A385" s="35" t="s">
        <v>21</v>
      </c>
      <c r="B385" s="35" t="s">
        <v>35</v>
      </c>
      <c r="C385" s="35" t="s">
        <v>23</v>
      </c>
      <c r="D385" s="35" t="s">
        <v>50</v>
      </c>
      <c r="E385" s="35" t="s">
        <v>53</v>
      </c>
      <c r="F385" s="35" t="s">
        <v>25</v>
      </c>
      <c r="G385" s="35" t="s">
        <v>25</v>
      </c>
      <c r="H385" s="35" t="s">
        <v>25</v>
      </c>
      <c r="I385" s="54">
        <v>44501</v>
      </c>
      <c r="J385" s="55">
        <f>EFEITO!$J$385*EFEITO!$Y$385</f>
        <v>0</v>
      </c>
      <c r="K385" s="55">
        <f ca="1">EFEITO!$L$385*EFEITO!$Z$385</f>
        <v>21.808938388165966</v>
      </c>
      <c r="L385" s="55">
        <f>EFEITO!$N$385*EFEITO!$AA$385</f>
        <v>7.0040669226651735</v>
      </c>
      <c r="M385" s="55">
        <f>$J$385-EFEITO!$K$385*EFEITO!$Y$385</f>
        <v>0</v>
      </c>
      <c r="N385" s="55">
        <f ca="1">$K$385-EFEITO!$M$385*EFEITO!$Z$385</f>
        <v>0</v>
      </c>
      <c r="O385" s="55">
        <f>$L$385-EFEITO!$O$385*EFEITO!$AA$385</f>
        <v>0</v>
      </c>
      <c r="P385" s="39"/>
      <c r="Q385" s="39"/>
      <c r="R385" s="39"/>
      <c r="S385" s="39"/>
      <c r="T385" s="39"/>
      <c r="U385" s="39"/>
      <c r="V385" s="39"/>
      <c r="W385" s="39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1.25" customHeight="1" x14ac:dyDescent="0.2">
      <c r="A386" s="35" t="s">
        <v>21</v>
      </c>
      <c r="B386" s="35" t="s">
        <v>35</v>
      </c>
      <c r="C386" s="35" t="s">
        <v>23</v>
      </c>
      <c r="D386" s="35" t="s">
        <v>50</v>
      </c>
      <c r="E386" s="35" t="s">
        <v>53</v>
      </c>
      <c r="F386" s="35" t="s">
        <v>25</v>
      </c>
      <c r="G386" s="35" t="s">
        <v>25</v>
      </c>
      <c r="H386" s="35" t="s">
        <v>25</v>
      </c>
      <c r="I386" s="54">
        <v>44531</v>
      </c>
      <c r="J386" s="55">
        <f>EFEITO!$J$386*EFEITO!$Y$386</f>
        <v>0</v>
      </c>
      <c r="K386" s="55">
        <f ca="1">EFEITO!$L$386*EFEITO!$Z$386</f>
        <v>27.001542766300719</v>
      </c>
      <c r="L386" s="55">
        <f>EFEITO!$N$386*EFEITO!$AA$386</f>
        <v>8.6717019042521191</v>
      </c>
      <c r="M386" s="55">
        <f>$J$386-EFEITO!$K$386*EFEITO!$Y$386</f>
        <v>0</v>
      </c>
      <c r="N386" s="55">
        <f ca="1">$K$386-EFEITO!$M$386*EFEITO!$Z$386</f>
        <v>0</v>
      </c>
      <c r="O386" s="55">
        <f>$L$386-EFEITO!$O$386*EFEITO!$AA$386</f>
        <v>0</v>
      </c>
      <c r="P386" s="39"/>
      <c r="Q386" s="39"/>
      <c r="R386" s="39"/>
      <c r="S386" s="39"/>
      <c r="T386" s="39"/>
      <c r="U386" s="39"/>
      <c r="V386" s="39"/>
      <c r="W386" s="39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1.25" customHeight="1" x14ac:dyDescent="0.2">
      <c r="A387" s="35" t="s">
        <v>21</v>
      </c>
      <c r="B387" s="35" t="s">
        <v>35</v>
      </c>
      <c r="C387" s="35" t="s">
        <v>23</v>
      </c>
      <c r="D387" s="35" t="s">
        <v>50</v>
      </c>
      <c r="E387" s="35" t="s">
        <v>53</v>
      </c>
      <c r="F387" s="35" t="s">
        <v>25</v>
      </c>
      <c r="G387" s="35" t="s">
        <v>25</v>
      </c>
      <c r="H387" s="35" t="s">
        <v>25</v>
      </c>
      <c r="I387" s="54">
        <v>44562</v>
      </c>
      <c r="J387" s="55">
        <f>EFEITO!$J$387*EFEITO!$Y$387</f>
        <v>0</v>
      </c>
      <c r="K387" s="55">
        <f ca="1">EFEITO!$L$387*EFEITO!$Z$387</f>
        <v>30.636365830995047</v>
      </c>
      <c r="L387" s="55">
        <f>EFEITO!$N$387*EFEITO!$AA$387</f>
        <v>9.8390463913629809</v>
      </c>
      <c r="M387" s="55">
        <f>$J$387-EFEITO!$K$387*EFEITO!$Y$387</f>
        <v>0</v>
      </c>
      <c r="N387" s="55">
        <f ca="1">$K$387-EFEITO!$M$387*EFEITO!$Z$387</f>
        <v>0</v>
      </c>
      <c r="O387" s="55">
        <f>$L$387-EFEITO!$O$387*EFEITO!$AA$387</f>
        <v>0</v>
      </c>
      <c r="P387" s="39"/>
      <c r="Q387" s="39"/>
      <c r="R387" s="39"/>
      <c r="S387" s="39"/>
      <c r="T387" s="39"/>
      <c r="U387" s="39"/>
      <c r="V387" s="39"/>
      <c r="W387" s="39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1.25" customHeight="1" x14ac:dyDescent="0.2">
      <c r="A388" s="35" t="s">
        <v>21</v>
      </c>
      <c r="B388" s="35" t="s">
        <v>35</v>
      </c>
      <c r="C388" s="35" t="s">
        <v>23</v>
      </c>
      <c r="D388" s="35" t="s">
        <v>50</v>
      </c>
      <c r="E388" s="35" t="s">
        <v>53</v>
      </c>
      <c r="F388" s="35" t="s">
        <v>25</v>
      </c>
      <c r="G388" s="35" t="s">
        <v>25</v>
      </c>
      <c r="H388" s="35" t="s">
        <v>25</v>
      </c>
      <c r="I388" s="54">
        <v>44593</v>
      </c>
      <c r="J388" s="55">
        <f>EFEITO!$J$388*EFEITO!$Y$388</f>
        <v>0</v>
      </c>
      <c r="K388" s="55">
        <f ca="1">EFEITO!$L$388*EFEITO!$Z$388</f>
        <v>31.155626268808522</v>
      </c>
      <c r="L388" s="55">
        <f>EFEITO!$N$388*EFEITO!$AA$388</f>
        <v>10.005809889521675</v>
      </c>
      <c r="M388" s="55">
        <f>$J$388-EFEITO!$K$388*EFEITO!$Y$388</f>
        <v>0</v>
      </c>
      <c r="N388" s="55">
        <f ca="1">$K$388-EFEITO!$M$388*EFEITO!$Z$388</f>
        <v>0</v>
      </c>
      <c r="O388" s="55">
        <f>$L$388-EFEITO!$O$388*EFEITO!$AA$388</f>
        <v>0</v>
      </c>
      <c r="P388" s="39"/>
      <c r="Q388" s="39"/>
      <c r="R388" s="39"/>
      <c r="S388" s="39"/>
      <c r="T388" s="39"/>
      <c r="U388" s="39"/>
      <c r="V388" s="39"/>
      <c r="W388" s="39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1.25" customHeight="1" x14ac:dyDescent="0.2">
      <c r="A389" s="35" t="s">
        <v>21</v>
      </c>
      <c r="B389" s="35" t="s">
        <v>35</v>
      </c>
      <c r="C389" s="35" t="s">
        <v>23</v>
      </c>
      <c r="D389" s="35" t="s">
        <v>50</v>
      </c>
      <c r="E389" s="35" t="s">
        <v>53</v>
      </c>
      <c r="F389" s="35" t="s">
        <v>25</v>
      </c>
      <c r="G389" s="35" t="s">
        <v>25</v>
      </c>
      <c r="H389" s="35" t="s">
        <v>25</v>
      </c>
      <c r="I389" s="54">
        <v>44621</v>
      </c>
      <c r="J389" s="55">
        <f>EFEITO!$J$389*EFEITO!$Y$389</f>
        <v>0</v>
      </c>
      <c r="K389" s="55">
        <f ca="1">EFEITO!$L$389*EFEITO!$Z$389</f>
        <v>36.348230646943279</v>
      </c>
      <c r="L389" s="55">
        <f>EFEITO!$N$389*EFEITO!$AA$389</f>
        <v>11.673444871108623</v>
      </c>
      <c r="M389" s="55">
        <f>$J$389-EFEITO!$K$389*EFEITO!$Y$389</f>
        <v>0</v>
      </c>
      <c r="N389" s="55">
        <f ca="1">$K$389-EFEITO!$M$389*EFEITO!$Z$389</f>
        <v>0</v>
      </c>
      <c r="O389" s="55">
        <f>$L$389-EFEITO!$O$389*EFEITO!$AA$389</f>
        <v>0</v>
      </c>
      <c r="P389" s="39"/>
      <c r="Q389" s="39"/>
      <c r="R389" s="39"/>
      <c r="S389" s="39"/>
      <c r="T389" s="39"/>
      <c r="U389" s="39"/>
      <c r="V389" s="39"/>
      <c r="W389" s="39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1.25" customHeight="1" x14ac:dyDescent="0.2">
      <c r="A390" s="35" t="s">
        <v>21</v>
      </c>
      <c r="B390" s="35" t="s">
        <v>35</v>
      </c>
      <c r="C390" s="35" t="s">
        <v>23</v>
      </c>
      <c r="D390" s="35" t="s">
        <v>50</v>
      </c>
      <c r="E390" s="35" t="s">
        <v>53</v>
      </c>
      <c r="F390" s="35" t="s">
        <v>25</v>
      </c>
      <c r="G390" s="35" t="s">
        <v>25</v>
      </c>
      <c r="H390" s="35" t="s">
        <v>25</v>
      </c>
      <c r="I390" s="54">
        <v>44652</v>
      </c>
      <c r="J390" s="55">
        <f>EFEITO!$J$390*EFEITO!$Y$390</f>
        <v>0</v>
      </c>
      <c r="K390" s="55">
        <f ca="1">EFEITO!$L$390*EFEITO!$Z$390</f>
        <v>15.577813134404261</v>
      </c>
      <c r="L390" s="55">
        <f>EFEITO!$N$390*EFEITO!$AA$390</f>
        <v>5.0029049447608376</v>
      </c>
      <c r="M390" s="55">
        <f>$J$390-EFEITO!$K$390*EFEITO!$Y$390</f>
        <v>0</v>
      </c>
      <c r="N390" s="55">
        <f ca="1">$K$390-EFEITO!$M$390*EFEITO!$Z$390</f>
        <v>0</v>
      </c>
      <c r="O390" s="55">
        <f>$L$390-EFEITO!$O$390*EFEITO!$AA$390</f>
        <v>0</v>
      </c>
      <c r="P390" s="39"/>
      <c r="Q390" s="39"/>
      <c r="R390" s="39"/>
      <c r="S390" s="39"/>
      <c r="T390" s="39"/>
      <c r="U390" s="39"/>
      <c r="V390" s="39"/>
      <c r="W390" s="39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1.25" customHeight="1" x14ac:dyDescent="0.2">
      <c r="A391" s="35" t="s">
        <v>21</v>
      </c>
      <c r="B391" s="35" t="s">
        <v>35</v>
      </c>
      <c r="C391" s="35" t="s">
        <v>23</v>
      </c>
      <c r="D391" s="35" t="s">
        <v>50</v>
      </c>
      <c r="E391" s="35" t="s">
        <v>53</v>
      </c>
      <c r="F391" s="35" t="s">
        <v>25</v>
      </c>
      <c r="G391" s="35" t="s">
        <v>25</v>
      </c>
      <c r="H391" s="35" t="s">
        <v>25</v>
      </c>
      <c r="I391" s="54">
        <v>44682</v>
      </c>
      <c r="J391" s="55">
        <f>EFEITO!$J$391*EFEITO!$Y$391</f>
        <v>0</v>
      </c>
      <c r="K391" s="55">
        <f ca="1">EFEITO!$L$391*EFEITO!$Z$391</f>
        <v>17.135594447844689</v>
      </c>
      <c r="L391" s="55">
        <f>EFEITO!$N$391*EFEITO!$AA$391</f>
        <v>5.5031954392369222</v>
      </c>
      <c r="M391" s="55">
        <f>$J$391-EFEITO!$K$391*EFEITO!$Y$391</f>
        <v>0</v>
      </c>
      <c r="N391" s="55">
        <f ca="1">$K$391-EFEITO!$M$391*EFEITO!$Z$391</f>
        <v>0</v>
      </c>
      <c r="O391" s="55">
        <f>$L$391-EFEITO!$O$391*EFEITO!$AA$391</f>
        <v>0</v>
      </c>
      <c r="P391" s="39"/>
      <c r="Q391" s="39"/>
      <c r="R391" s="39"/>
      <c r="S391" s="39"/>
      <c r="T391" s="39"/>
      <c r="U391" s="39"/>
      <c r="V391" s="39"/>
      <c r="W391" s="39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1.25" customHeight="1" x14ac:dyDescent="0.2">
      <c r="A392" s="35" t="s">
        <v>21</v>
      </c>
      <c r="B392" s="35" t="s">
        <v>35</v>
      </c>
      <c r="C392" s="35" t="s">
        <v>23</v>
      </c>
      <c r="D392" s="35" t="s">
        <v>50</v>
      </c>
      <c r="E392" s="35" t="s">
        <v>53</v>
      </c>
      <c r="F392" s="35" t="s">
        <v>25</v>
      </c>
      <c r="G392" s="35" t="s">
        <v>25</v>
      </c>
      <c r="H392" s="35" t="s">
        <v>25</v>
      </c>
      <c r="I392" s="54">
        <v>44713</v>
      </c>
      <c r="J392" s="55">
        <f>EFEITO!$J$392*EFEITO!$Y$392</f>
        <v>0</v>
      </c>
      <c r="K392" s="55">
        <f ca="1">EFEITO!$L$392*EFEITO!$Z$392</f>
        <v>17.654854885658164</v>
      </c>
      <c r="L392" s="55">
        <f>EFEITO!$N$392*EFEITO!$AA$392</f>
        <v>5.6699589373956165</v>
      </c>
      <c r="M392" s="55">
        <f>$J$392-EFEITO!$K$392*EFEITO!$Y$392</f>
        <v>0</v>
      </c>
      <c r="N392" s="55">
        <f ca="1">$K$392-EFEITO!$M$392*EFEITO!$Z$392</f>
        <v>0</v>
      </c>
      <c r="O392" s="55">
        <f>$L$392-EFEITO!$O$392*EFEITO!$AA$392</f>
        <v>0</v>
      </c>
      <c r="P392" s="39"/>
      <c r="Q392" s="39"/>
      <c r="R392" s="39"/>
      <c r="S392" s="39"/>
      <c r="T392" s="39"/>
      <c r="U392" s="39"/>
      <c r="V392" s="39"/>
      <c r="W392" s="39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1.25" customHeight="1" x14ac:dyDescent="0.2">
      <c r="A393" s="35" t="s">
        <v>21</v>
      </c>
      <c r="B393" s="35" t="s">
        <v>35</v>
      </c>
      <c r="C393" s="35" t="s">
        <v>23</v>
      </c>
      <c r="D393" s="35" t="s">
        <v>50</v>
      </c>
      <c r="E393" s="35" t="s">
        <v>53</v>
      </c>
      <c r="F393" s="35" t="s">
        <v>25</v>
      </c>
      <c r="G393" s="35" t="s">
        <v>25</v>
      </c>
      <c r="H393" s="35" t="s">
        <v>25</v>
      </c>
      <c r="I393" s="54">
        <v>44743</v>
      </c>
      <c r="J393" s="55">
        <f>EFEITO!$J$393*EFEITO!$Y$393</f>
        <v>0</v>
      </c>
      <c r="K393" s="55">
        <f ca="1">EFEITO!$L$393*EFEITO!$Z$393</f>
        <v>18.693375761285111</v>
      </c>
      <c r="L393" s="55">
        <f>EFEITO!$N$393*EFEITO!$AA$393</f>
        <v>6.0034859337130051</v>
      </c>
      <c r="M393" s="55">
        <f>$J$393-EFEITO!$K$393*EFEITO!$Y$393</f>
        <v>0</v>
      </c>
      <c r="N393" s="55">
        <f ca="1">$K$393-EFEITO!$M$393*EFEITO!$Z$393</f>
        <v>0</v>
      </c>
      <c r="O393" s="55">
        <f>$L$393-EFEITO!$O$393*EFEITO!$AA$393</f>
        <v>0</v>
      </c>
      <c r="P393" s="39"/>
      <c r="Q393" s="39"/>
      <c r="R393" s="39"/>
      <c r="S393" s="39"/>
      <c r="T393" s="39"/>
      <c r="U393" s="39"/>
      <c r="V393" s="39"/>
      <c r="W393" s="39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1.25" customHeight="1" x14ac:dyDescent="0.2">
      <c r="A394" s="35" t="s">
        <v>21</v>
      </c>
      <c r="B394" s="35" t="s">
        <v>35</v>
      </c>
      <c r="C394" s="35" t="s">
        <v>23</v>
      </c>
      <c r="D394" s="35" t="s">
        <v>50</v>
      </c>
      <c r="E394" s="35" t="s">
        <v>53</v>
      </c>
      <c r="F394" s="35" t="s">
        <v>25</v>
      </c>
      <c r="G394" s="35" t="s">
        <v>25</v>
      </c>
      <c r="H394" s="35" t="s">
        <v>25</v>
      </c>
      <c r="I394" s="54">
        <v>44774</v>
      </c>
      <c r="J394" s="55">
        <f>EFEITO!$J$394*EFEITO!$Y$394</f>
        <v>0</v>
      </c>
      <c r="K394" s="55">
        <f ca="1">EFEITO!$L$394*EFEITO!$Z$394</f>
        <v>38.944532836010652</v>
      </c>
      <c r="L394" s="55">
        <f>EFEITO!$N$394*EFEITO!$AA$394</f>
        <v>12.507262361902095</v>
      </c>
      <c r="M394" s="55">
        <f>$J$394-EFEITO!$K$394*EFEITO!$Y$394</f>
        <v>0</v>
      </c>
      <c r="N394" s="55">
        <f ca="1">$K$394-EFEITO!$M$394*EFEITO!$Z$394</f>
        <v>0</v>
      </c>
      <c r="O394" s="55">
        <f>$L$394-EFEITO!$O$394*EFEITO!$AA$394</f>
        <v>0</v>
      </c>
      <c r="P394" s="39"/>
      <c r="Q394" s="39"/>
      <c r="R394" s="39"/>
      <c r="S394" s="39"/>
      <c r="T394" s="39"/>
      <c r="U394" s="39"/>
      <c r="V394" s="39"/>
      <c r="W394" s="39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1.25" customHeight="1" x14ac:dyDescent="0.2">
      <c r="A395" s="35" t="s">
        <v>21</v>
      </c>
      <c r="B395" s="35" t="s">
        <v>46</v>
      </c>
      <c r="C395" s="35" t="s">
        <v>23</v>
      </c>
      <c r="D395" s="35" t="s">
        <v>47</v>
      </c>
      <c r="E395" s="35" t="s">
        <v>48</v>
      </c>
      <c r="F395" s="35" t="s">
        <v>25</v>
      </c>
      <c r="G395" s="35" t="s">
        <v>25</v>
      </c>
      <c r="H395" s="35" t="s">
        <v>25</v>
      </c>
      <c r="I395" s="54">
        <v>44440</v>
      </c>
      <c r="J395" s="55">
        <f>EFEITO!$J$395*EFEITO!$Y$395</f>
        <v>0</v>
      </c>
      <c r="K395" s="55">
        <f ca="1">EFEITO!$L$395*EFEITO!$Z$395</f>
        <v>54627.41832000648</v>
      </c>
      <c r="L395" s="55">
        <f>EFEITO!$N$395*EFEITO!$AA$395</f>
        <v>17543.911900515348</v>
      </c>
      <c r="M395" s="55">
        <f>$J$395-EFEITO!$K$395*EFEITO!$Y$395</f>
        <v>0</v>
      </c>
      <c r="N395" s="55">
        <f ca="1">$K$395-EFEITO!$M$395*EFEITO!$Z$395</f>
        <v>0</v>
      </c>
      <c r="O395" s="55">
        <f>$L$395-EFEITO!$O$395*EFEITO!$AA$395</f>
        <v>0</v>
      </c>
      <c r="P395" s="39"/>
      <c r="Q395" s="39"/>
      <c r="R395" s="39"/>
      <c r="S395" s="39"/>
      <c r="T395" s="39"/>
      <c r="U395" s="39"/>
      <c r="V395" s="39"/>
      <c r="W395" s="39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1.25" customHeight="1" x14ac:dyDescent="0.2">
      <c r="A396" s="35" t="s">
        <v>21</v>
      </c>
      <c r="B396" s="35" t="s">
        <v>46</v>
      </c>
      <c r="C396" s="35" t="s">
        <v>23</v>
      </c>
      <c r="D396" s="35" t="s">
        <v>47</v>
      </c>
      <c r="E396" s="35" t="s">
        <v>48</v>
      </c>
      <c r="F396" s="35" t="s">
        <v>25</v>
      </c>
      <c r="G396" s="35" t="s">
        <v>25</v>
      </c>
      <c r="H396" s="35" t="s">
        <v>25</v>
      </c>
      <c r="I396" s="54">
        <v>44470</v>
      </c>
      <c r="J396" s="55">
        <f>EFEITO!$J$396*EFEITO!$Y$396</f>
        <v>0</v>
      </c>
      <c r="K396" s="55">
        <f ca="1">EFEITO!$L$396*EFEITO!$Z$396</f>
        <v>54627.41832000648</v>
      </c>
      <c r="L396" s="55">
        <f>EFEITO!$N$396*EFEITO!$AA$396</f>
        <v>17543.911900515348</v>
      </c>
      <c r="M396" s="55">
        <f>$J$396-EFEITO!$K$396*EFEITO!$Y$396</f>
        <v>0</v>
      </c>
      <c r="N396" s="55">
        <f ca="1">$K$396-EFEITO!$M$396*EFEITO!$Z$396</f>
        <v>0</v>
      </c>
      <c r="O396" s="55">
        <f>$L$396-EFEITO!$O$396*EFEITO!$AA$396</f>
        <v>0</v>
      </c>
      <c r="P396" s="39"/>
      <c r="Q396" s="39"/>
      <c r="R396" s="39"/>
      <c r="S396" s="39"/>
      <c r="T396" s="39"/>
      <c r="U396" s="39"/>
      <c r="V396" s="39"/>
      <c r="W396" s="39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1.25" customHeight="1" x14ac:dyDescent="0.2">
      <c r="A397" s="35" t="s">
        <v>21</v>
      </c>
      <c r="B397" s="35" t="s">
        <v>46</v>
      </c>
      <c r="C397" s="35" t="s">
        <v>23</v>
      </c>
      <c r="D397" s="35" t="s">
        <v>47</v>
      </c>
      <c r="E397" s="35" t="s">
        <v>48</v>
      </c>
      <c r="F397" s="35" t="s">
        <v>25</v>
      </c>
      <c r="G397" s="35" t="s">
        <v>25</v>
      </c>
      <c r="H397" s="35" t="s">
        <v>25</v>
      </c>
      <c r="I397" s="54">
        <v>44501</v>
      </c>
      <c r="J397" s="55">
        <f>EFEITO!$J$397*EFEITO!$Y$397</f>
        <v>0</v>
      </c>
      <c r="K397" s="55">
        <f ca="1">EFEITO!$L$397*EFEITO!$Z$397</f>
        <v>54627.41832000648</v>
      </c>
      <c r="L397" s="55">
        <f>EFEITO!$N$397*EFEITO!$AA$397</f>
        <v>17543.911900515348</v>
      </c>
      <c r="M397" s="55">
        <f>$J$397-EFEITO!$K$397*EFEITO!$Y$397</f>
        <v>0</v>
      </c>
      <c r="N397" s="55">
        <f ca="1">$K$397-EFEITO!$M$397*EFEITO!$Z$397</f>
        <v>0</v>
      </c>
      <c r="O397" s="55">
        <f>$L$397-EFEITO!$O$397*EFEITO!$AA$397</f>
        <v>0</v>
      </c>
      <c r="P397" s="39"/>
      <c r="Q397" s="39"/>
      <c r="R397" s="39"/>
      <c r="S397" s="39"/>
      <c r="T397" s="39"/>
      <c r="U397" s="39"/>
      <c r="V397" s="39"/>
      <c r="W397" s="39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1.25" customHeight="1" x14ac:dyDescent="0.2">
      <c r="A398" s="35" t="s">
        <v>21</v>
      </c>
      <c r="B398" s="35" t="s">
        <v>46</v>
      </c>
      <c r="C398" s="35" t="s">
        <v>23</v>
      </c>
      <c r="D398" s="35" t="s">
        <v>47</v>
      </c>
      <c r="E398" s="35" t="s">
        <v>48</v>
      </c>
      <c r="F398" s="35" t="s">
        <v>25</v>
      </c>
      <c r="G398" s="35" t="s">
        <v>25</v>
      </c>
      <c r="H398" s="35" t="s">
        <v>25</v>
      </c>
      <c r="I398" s="54">
        <v>44531</v>
      </c>
      <c r="J398" s="55">
        <f>EFEITO!$J$398*EFEITO!$Y$398</f>
        <v>0</v>
      </c>
      <c r="K398" s="55">
        <f ca="1">EFEITO!$L$398*EFEITO!$Z$398</f>
        <v>54627.41832000648</v>
      </c>
      <c r="L398" s="55">
        <f>EFEITO!$N$398*EFEITO!$AA$398</f>
        <v>17543.911900515348</v>
      </c>
      <c r="M398" s="55">
        <f>$J$398-EFEITO!$K$398*EFEITO!$Y$398</f>
        <v>0</v>
      </c>
      <c r="N398" s="55">
        <f ca="1">$K$398-EFEITO!$M$398*EFEITO!$Z$398</f>
        <v>0</v>
      </c>
      <c r="O398" s="55">
        <f>$L$398-EFEITO!$O$398*EFEITO!$AA$398</f>
        <v>0</v>
      </c>
      <c r="P398" s="39"/>
      <c r="Q398" s="39"/>
      <c r="R398" s="39"/>
      <c r="S398" s="39"/>
      <c r="T398" s="39"/>
      <c r="U398" s="39"/>
      <c r="V398" s="39"/>
      <c r="W398" s="39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1.25" customHeight="1" x14ac:dyDescent="0.2">
      <c r="A399" s="35" t="s">
        <v>21</v>
      </c>
      <c r="B399" s="35" t="s">
        <v>46</v>
      </c>
      <c r="C399" s="35" t="s">
        <v>23</v>
      </c>
      <c r="D399" s="35" t="s">
        <v>47</v>
      </c>
      <c r="E399" s="35" t="s">
        <v>48</v>
      </c>
      <c r="F399" s="35" t="s">
        <v>25</v>
      </c>
      <c r="G399" s="35" t="s">
        <v>25</v>
      </c>
      <c r="H399" s="35" t="s">
        <v>25</v>
      </c>
      <c r="I399" s="54">
        <v>44562</v>
      </c>
      <c r="J399" s="55">
        <f>EFEITO!$J$399*EFEITO!$Y$399</f>
        <v>0</v>
      </c>
      <c r="K399" s="55">
        <f ca="1">EFEITO!$L$399*EFEITO!$Z$399</f>
        <v>54627.41832000648</v>
      </c>
      <c r="L399" s="55">
        <f>EFEITO!$N$399*EFEITO!$AA$399</f>
        <v>17543.911900515348</v>
      </c>
      <c r="M399" s="55">
        <f>$J$399-EFEITO!$K$399*EFEITO!$Y$399</f>
        <v>0</v>
      </c>
      <c r="N399" s="55">
        <f ca="1">$K$399-EFEITO!$M$399*EFEITO!$Z$399</f>
        <v>0</v>
      </c>
      <c r="O399" s="55">
        <f>$L$399-EFEITO!$O$399*EFEITO!$AA$399</f>
        <v>0</v>
      </c>
      <c r="P399" s="39"/>
      <c r="Q399" s="39"/>
      <c r="R399" s="39"/>
      <c r="S399" s="39"/>
      <c r="T399" s="39"/>
      <c r="U399" s="39"/>
      <c r="V399" s="39"/>
      <c r="W399" s="39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1.25" customHeight="1" x14ac:dyDescent="0.2">
      <c r="A400" s="35" t="s">
        <v>21</v>
      </c>
      <c r="B400" s="35" t="s">
        <v>46</v>
      </c>
      <c r="C400" s="35" t="s">
        <v>23</v>
      </c>
      <c r="D400" s="35" t="s">
        <v>47</v>
      </c>
      <c r="E400" s="35" t="s">
        <v>48</v>
      </c>
      <c r="F400" s="35" t="s">
        <v>25</v>
      </c>
      <c r="G400" s="35" t="s">
        <v>25</v>
      </c>
      <c r="H400" s="35" t="s">
        <v>25</v>
      </c>
      <c r="I400" s="54">
        <v>44593</v>
      </c>
      <c r="J400" s="55">
        <f>EFEITO!$J$400*EFEITO!$Y$400</f>
        <v>0</v>
      </c>
      <c r="K400" s="55">
        <f ca="1">EFEITO!$L$400*EFEITO!$Z$400</f>
        <v>54627.41832000648</v>
      </c>
      <c r="L400" s="55">
        <f>EFEITO!$N$400*EFEITO!$AA$400</f>
        <v>17543.911900515348</v>
      </c>
      <c r="M400" s="55">
        <f>$J$400-EFEITO!$K$400*EFEITO!$Y$400</f>
        <v>0</v>
      </c>
      <c r="N400" s="55">
        <f ca="1">$K$400-EFEITO!$M$400*EFEITO!$Z$400</f>
        <v>0</v>
      </c>
      <c r="O400" s="55">
        <f>$L$400-EFEITO!$O$400*EFEITO!$AA$400</f>
        <v>0</v>
      </c>
      <c r="P400" s="39"/>
      <c r="Q400" s="39"/>
      <c r="R400" s="39"/>
      <c r="S400" s="39"/>
      <c r="T400" s="39"/>
      <c r="U400" s="39"/>
      <c r="V400" s="39"/>
      <c r="W400" s="39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1.25" customHeight="1" x14ac:dyDescent="0.2">
      <c r="A401" s="35" t="s">
        <v>21</v>
      </c>
      <c r="B401" s="35" t="s">
        <v>46</v>
      </c>
      <c r="C401" s="35" t="s">
        <v>23</v>
      </c>
      <c r="D401" s="35" t="s">
        <v>47</v>
      </c>
      <c r="E401" s="35" t="s">
        <v>48</v>
      </c>
      <c r="F401" s="35" t="s">
        <v>25</v>
      </c>
      <c r="G401" s="35" t="s">
        <v>25</v>
      </c>
      <c r="H401" s="35" t="s">
        <v>25</v>
      </c>
      <c r="I401" s="54">
        <v>44621</v>
      </c>
      <c r="J401" s="55">
        <f>EFEITO!$J$401*EFEITO!$Y$401</f>
        <v>0</v>
      </c>
      <c r="K401" s="55">
        <f ca="1">EFEITO!$L$401*EFEITO!$Z$401</f>
        <v>54627.41832000648</v>
      </c>
      <c r="L401" s="55">
        <f>EFEITO!$N$401*EFEITO!$AA$401</f>
        <v>17543.911900515348</v>
      </c>
      <c r="M401" s="55">
        <f>$J$401-EFEITO!$K$401*EFEITO!$Y$401</f>
        <v>0</v>
      </c>
      <c r="N401" s="55">
        <f ca="1">$K$401-EFEITO!$M$401*EFEITO!$Z$401</f>
        <v>0</v>
      </c>
      <c r="O401" s="55">
        <f>$L$401-EFEITO!$O$401*EFEITO!$AA$401</f>
        <v>0</v>
      </c>
      <c r="P401" s="39"/>
      <c r="Q401" s="39"/>
      <c r="R401" s="39"/>
      <c r="S401" s="39"/>
      <c r="T401" s="39"/>
      <c r="U401" s="39"/>
      <c r="V401" s="39"/>
      <c r="W401" s="39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1.25" customHeight="1" x14ac:dyDescent="0.2">
      <c r="A402" s="35" t="s">
        <v>21</v>
      </c>
      <c r="B402" s="35" t="s">
        <v>46</v>
      </c>
      <c r="C402" s="35" t="s">
        <v>23</v>
      </c>
      <c r="D402" s="35" t="s">
        <v>47</v>
      </c>
      <c r="E402" s="35" t="s">
        <v>48</v>
      </c>
      <c r="F402" s="35" t="s">
        <v>25</v>
      </c>
      <c r="G402" s="35" t="s">
        <v>25</v>
      </c>
      <c r="H402" s="35" t="s">
        <v>25</v>
      </c>
      <c r="I402" s="54">
        <v>44652</v>
      </c>
      <c r="J402" s="55">
        <f>EFEITO!$J$402*EFEITO!$Y$402</f>
        <v>0</v>
      </c>
      <c r="K402" s="55">
        <f ca="1">EFEITO!$L$402*EFEITO!$Z$402</f>
        <v>54627.41832000648</v>
      </c>
      <c r="L402" s="55">
        <f>EFEITO!$N$402*EFEITO!$AA$402</f>
        <v>17543.911900515348</v>
      </c>
      <c r="M402" s="55">
        <f>$J$402-EFEITO!$K$402*EFEITO!$Y$402</f>
        <v>0</v>
      </c>
      <c r="N402" s="55">
        <f ca="1">$K$402-EFEITO!$M$402*EFEITO!$Z$402</f>
        <v>0</v>
      </c>
      <c r="O402" s="55">
        <f>$L$402-EFEITO!$O$402*EFEITO!$AA$402</f>
        <v>0</v>
      </c>
      <c r="P402" s="39"/>
      <c r="Q402" s="39"/>
      <c r="R402" s="39"/>
      <c r="S402" s="39"/>
      <c r="T402" s="39"/>
      <c r="U402" s="39"/>
      <c r="V402" s="39"/>
      <c r="W402" s="39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1.25" customHeight="1" x14ac:dyDescent="0.2">
      <c r="A403" s="35" t="s">
        <v>21</v>
      </c>
      <c r="B403" s="35" t="s">
        <v>46</v>
      </c>
      <c r="C403" s="35" t="s">
        <v>23</v>
      </c>
      <c r="D403" s="35" t="s">
        <v>47</v>
      </c>
      <c r="E403" s="35" t="s">
        <v>48</v>
      </c>
      <c r="F403" s="35" t="s">
        <v>25</v>
      </c>
      <c r="G403" s="35" t="s">
        <v>25</v>
      </c>
      <c r="H403" s="35" t="s">
        <v>25</v>
      </c>
      <c r="I403" s="54">
        <v>44682</v>
      </c>
      <c r="J403" s="55">
        <f>EFEITO!$J$403*EFEITO!$Y$403</f>
        <v>0</v>
      </c>
      <c r="K403" s="55">
        <f ca="1">EFEITO!$L$403*EFEITO!$Z$403</f>
        <v>54627.41832000648</v>
      </c>
      <c r="L403" s="55">
        <f>EFEITO!$N$403*EFEITO!$AA$403</f>
        <v>17543.911900515348</v>
      </c>
      <c r="M403" s="55">
        <f>$J$403-EFEITO!$K$403*EFEITO!$Y$403</f>
        <v>0</v>
      </c>
      <c r="N403" s="55">
        <f ca="1">$K$403-EFEITO!$M$403*EFEITO!$Z$403</f>
        <v>0</v>
      </c>
      <c r="O403" s="55">
        <f>$L$403-EFEITO!$O$403*EFEITO!$AA$403</f>
        <v>0</v>
      </c>
      <c r="P403" s="39"/>
      <c r="Q403" s="39"/>
      <c r="R403" s="39"/>
      <c r="S403" s="39"/>
      <c r="T403" s="39"/>
      <c r="U403" s="39"/>
      <c r="V403" s="39"/>
      <c r="W403" s="39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1.25" customHeight="1" x14ac:dyDescent="0.2">
      <c r="A404" s="35" t="s">
        <v>21</v>
      </c>
      <c r="B404" s="35" t="s">
        <v>46</v>
      </c>
      <c r="C404" s="35" t="s">
        <v>23</v>
      </c>
      <c r="D404" s="35" t="s">
        <v>47</v>
      </c>
      <c r="E404" s="35" t="s">
        <v>48</v>
      </c>
      <c r="F404" s="35" t="s">
        <v>25</v>
      </c>
      <c r="G404" s="35" t="s">
        <v>25</v>
      </c>
      <c r="H404" s="35" t="s">
        <v>25</v>
      </c>
      <c r="I404" s="54">
        <v>44713</v>
      </c>
      <c r="J404" s="55">
        <f>EFEITO!$J$404*EFEITO!$Y$404</f>
        <v>0</v>
      </c>
      <c r="K404" s="55">
        <f ca="1">EFEITO!$L$404*EFEITO!$Z$404</f>
        <v>67203.516678520507</v>
      </c>
      <c r="L404" s="55">
        <f>EFEITO!$N$404*EFEITO!$AA$404</f>
        <v>21582.798753295312</v>
      </c>
      <c r="M404" s="55">
        <f>$J$404-EFEITO!$K$404*EFEITO!$Y$404</f>
        <v>0</v>
      </c>
      <c r="N404" s="55">
        <f ca="1">$K$404-EFEITO!$M$404*EFEITO!$Z$404</f>
        <v>0</v>
      </c>
      <c r="O404" s="55">
        <f>$L$404-EFEITO!$O$404*EFEITO!$AA$404</f>
        <v>0</v>
      </c>
      <c r="P404" s="39"/>
      <c r="Q404" s="39"/>
      <c r="R404" s="39"/>
      <c r="S404" s="39"/>
      <c r="T404" s="39"/>
      <c r="U404" s="39"/>
      <c r="V404" s="39"/>
      <c r="W404" s="39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1.25" customHeight="1" x14ac:dyDescent="0.2">
      <c r="A405" s="35" t="s">
        <v>21</v>
      </c>
      <c r="B405" s="35" t="s">
        <v>46</v>
      </c>
      <c r="C405" s="35" t="s">
        <v>23</v>
      </c>
      <c r="D405" s="35" t="s">
        <v>47</v>
      </c>
      <c r="E405" s="35" t="s">
        <v>48</v>
      </c>
      <c r="F405" s="35" t="s">
        <v>25</v>
      </c>
      <c r="G405" s="35" t="s">
        <v>25</v>
      </c>
      <c r="H405" s="35" t="s">
        <v>25</v>
      </c>
      <c r="I405" s="54">
        <v>44743</v>
      </c>
      <c r="J405" s="55">
        <f>EFEITO!$J$405*EFEITO!$Y$405</f>
        <v>0</v>
      </c>
      <c r="K405" s="55">
        <f ca="1">EFEITO!$L$405*EFEITO!$Z$405</f>
        <v>74900.254518010741</v>
      </c>
      <c r="L405" s="55">
        <f>EFEITO!$N$405*EFEITO!$AA$405</f>
        <v>24054.650704752563</v>
      </c>
      <c r="M405" s="55">
        <f>$J$405-EFEITO!$K$405*EFEITO!$Y$405</f>
        <v>0</v>
      </c>
      <c r="N405" s="55">
        <f ca="1">$K$405-EFEITO!$M$405*EFEITO!$Z$405</f>
        <v>0</v>
      </c>
      <c r="O405" s="55">
        <f>$L$405-EFEITO!$O$405*EFEITO!$AA$405</f>
        <v>0</v>
      </c>
      <c r="P405" s="39"/>
      <c r="Q405" s="39"/>
      <c r="R405" s="39"/>
      <c r="S405" s="39"/>
      <c r="T405" s="39"/>
      <c r="U405" s="39"/>
      <c r="V405" s="39"/>
      <c r="W405" s="39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1.25" customHeight="1" x14ac:dyDescent="0.2">
      <c r="A406" s="35" t="s">
        <v>21</v>
      </c>
      <c r="B406" s="35" t="s">
        <v>46</v>
      </c>
      <c r="C406" s="35" t="s">
        <v>23</v>
      </c>
      <c r="D406" s="35" t="s">
        <v>47</v>
      </c>
      <c r="E406" s="35" t="s">
        <v>48</v>
      </c>
      <c r="F406" s="35" t="s">
        <v>25</v>
      </c>
      <c r="G406" s="35" t="s">
        <v>25</v>
      </c>
      <c r="H406" s="35" t="s">
        <v>25</v>
      </c>
      <c r="I406" s="54">
        <v>44774</v>
      </c>
      <c r="J406" s="55">
        <f>EFEITO!$J$406*EFEITO!$Y$406</f>
        <v>0</v>
      </c>
      <c r="K406" s="55">
        <f ca="1">EFEITO!$L$406*EFEITO!$Z$406</f>
        <v>78905.985313435231</v>
      </c>
      <c r="L406" s="55">
        <f>EFEITO!$N$406*EFEITO!$AA$406</f>
        <v>25341.114358598181</v>
      </c>
      <c r="M406" s="55">
        <f>$J$406-EFEITO!$K$406*EFEITO!$Y$406</f>
        <v>0</v>
      </c>
      <c r="N406" s="55">
        <f ca="1">$K$406-EFEITO!$M$406*EFEITO!$Z$406</f>
        <v>0</v>
      </c>
      <c r="O406" s="55">
        <f>$L$406-EFEITO!$O$406*EFEITO!$AA$406</f>
        <v>0</v>
      </c>
      <c r="P406" s="39"/>
      <c r="Q406" s="39"/>
      <c r="R406" s="39"/>
      <c r="S406" s="39"/>
      <c r="T406" s="39"/>
      <c r="U406" s="39"/>
      <c r="V406" s="39"/>
      <c r="W406" s="39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1.25" customHeight="1" x14ac:dyDescent="0.2">
      <c r="A407" s="35" t="s">
        <v>21</v>
      </c>
      <c r="B407" s="35" t="s">
        <v>46</v>
      </c>
      <c r="C407" s="35" t="s">
        <v>23</v>
      </c>
      <c r="D407" s="35" t="s">
        <v>47</v>
      </c>
      <c r="E407" s="35" t="s">
        <v>49</v>
      </c>
      <c r="F407" s="35" t="s">
        <v>25</v>
      </c>
      <c r="G407" s="35" t="s">
        <v>25</v>
      </c>
      <c r="H407" s="35" t="s">
        <v>25</v>
      </c>
      <c r="I407" s="54">
        <v>44440</v>
      </c>
      <c r="J407" s="55">
        <f>EFEITO!$J$407*EFEITO!$Y$407</f>
        <v>0</v>
      </c>
      <c r="K407" s="55">
        <f ca="1">EFEITO!$L$407*EFEITO!$Z$407</f>
        <v>39935.904863884141</v>
      </c>
      <c r="L407" s="55">
        <f>EFEITO!$N$407*EFEITO!$AA$407</f>
        <v>12825.647232586673</v>
      </c>
      <c r="M407" s="55">
        <f>$J$407-EFEITO!$K$407*EFEITO!$Y$407</f>
        <v>0</v>
      </c>
      <c r="N407" s="55">
        <f ca="1">$K$407-EFEITO!$M$407*EFEITO!$Z$407</f>
        <v>0</v>
      </c>
      <c r="O407" s="55">
        <f>$L$407-EFEITO!$O$407*EFEITO!$AA$407</f>
        <v>0</v>
      </c>
      <c r="P407" s="39"/>
      <c r="Q407" s="39"/>
      <c r="R407" s="39"/>
      <c r="S407" s="39"/>
      <c r="T407" s="39"/>
      <c r="U407" s="39"/>
      <c r="V407" s="39"/>
      <c r="W407" s="39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1.25" customHeight="1" x14ac:dyDescent="0.2">
      <c r="A408" s="35" t="s">
        <v>21</v>
      </c>
      <c r="B408" s="35" t="s">
        <v>46</v>
      </c>
      <c r="C408" s="35" t="s">
        <v>23</v>
      </c>
      <c r="D408" s="35" t="s">
        <v>47</v>
      </c>
      <c r="E408" s="35" t="s">
        <v>49</v>
      </c>
      <c r="F408" s="35" t="s">
        <v>25</v>
      </c>
      <c r="G408" s="35" t="s">
        <v>25</v>
      </c>
      <c r="H408" s="35" t="s">
        <v>25</v>
      </c>
      <c r="I408" s="54">
        <v>44470</v>
      </c>
      <c r="J408" s="55">
        <f>EFEITO!$J$408*EFEITO!$Y$408</f>
        <v>0</v>
      </c>
      <c r="K408" s="55">
        <f ca="1">EFEITO!$L$408*EFEITO!$Z$408</f>
        <v>40626.00198573825</v>
      </c>
      <c r="L408" s="55">
        <f>EFEITO!$N$408*EFEITO!$AA$408</f>
        <v>13047.275921639579</v>
      </c>
      <c r="M408" s="55">
        <f>$J$408-EFEITO!$K$408*EFEITO!$Y$408</f>
        <v>0</v>
      </c>
      <c r="N408" s="55">
        <f ca="1">$K$408-EFEITO!$M$408*EFEITO!$Z$408</f>
        <v>0</v>
      </c>
      <c r="O408" s="55">
        <f>$L$408-EFEITO!$O$408*EFEITO!$AA$408</f>
        <v>0</v>
      </c>
      <c r="P408" s="39"/>
      <c r="Q408" s="39"/>
      <c r="R408" s="39"/>
      <c r="S408" s="39"/>
      <c r="T408" s="39"/>
      <c r="U408" s="39"/>
      <c r="V408" s="39"/>
      <c r="W408" s="39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1.25" customHeight="1" x14ac:dyDescent="0.2">
      <c r="A409" s="35" t="s">
        <v>21</v>
      </c>
      <c r="B409" s="35" t="s">
        <v>46</v>
      </c>
      <c r="C409" s="35" t="s">
        <v>23</v>
      </c>
      <c r="D409" s="35" t="s">
        <v>47</v>
      </c>
      <c r="E409" s="35" t="s">
        <v>49</v>
      </c>
      <c r="F409" s="35" t="s">
        <v>25</v>
      </c>
      <c r="G409" s="35" t="s">
        <v>25</v>
      </c>
      <c r="H409" s="35" t="s">
        <v>25</v>
      </c>
      <c r="I409" s="54">
        <v>44501</v>
      </c>
      <c r="J409" s="55">
        <f>EFEITO!$J$409*EFEITO!$Y$409</f>
        <v>0</v>
      </c>
      <c r="K409" s="55">
        <f ca="1">EFEITO!$L$409*EFEITO!$Z$409</f>
        <v>40680.835887971363</v>
      </c>
      <c r="L409" s="55">
        <f>EFEITO!$N$409*EFEITO!$AA$409</f>
        <v>13064.886147045139</v>
      </c>
      <c r="M409" s="55">
        <f>$J$409-EFEITO!$K$409*EFEITO!$Y$409</f>
        <v>0</v>
      </c>
      <c r="N409" s="55">
        <f ca="1">$K$409-EFEITO!$M$409*EFEITO!$Z$409</f>
        <v>0</v>
      </c>
      <c r="O409" s="55">
        <f>$L$409-EFEITO!$O$409*EFEITO!$AA$409</f>
        <v>0</v>
      </c>
      <c r="P409" s="39"/>
      <c r="Q409" s="39"/>
      <c r="R409" s="39"/>
      <c r="S409" s="39"/>
      <c r="T409" s="39"/>
      <c r="U409" s="39"/>
      <c r="V409" s="39"/>
      <c r="W409" s="39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1.25" customHeight="1" x14ac:dyDescent="0.2">
      <c r="A410" s="35" t="s">
        <v>21</v>
      </c>
      <c r="B410" s="35" t="s">
        <v>46</v>
      </c>
      <c r="C410" s="35" t="s">
        <v>23</v>
      </c>
      <c r="D410" s="35" t="s">
        <v>47</v>
      </c>
      <c r="E410" s="35" t="s">
        <v>49</v>
      </c>
      <c r="F410" s="35" t="s">
        <v>25</v>
      </c>
      <c r="G410" s="35" t="s">
        <v>25</v>
      </c>
      <c r="H410" s="35" t="s">
        <v>25</v>
      </c>
      <c r="I410" s="54">
        <v>44531</v>
      </c>
      <c r="J410" s="55">
        <f>EFEITO!$J$410*EFEITO!$Y$410</f>
        <v>0</v>
      </c>
      <c r="K410" s="55">
        <f ca="1">EFEITO!$L$410*EFEITO!$Z$410</f>
        <v>40680.835887971363</v>
      </c>
      <c r="L410" s="55">
        <f>EFEITO!$N$410*EFEITO!$AA$410</f>
        <v>13064.886147045139</v>
      </c>
      <c r="M410" s="55">
        <f>$J$410-EFEITO!$K$410*EFEITO!$Y$410</f>
        <v>0</v>
      </c>
      <c r="N410" s="55">
        <f ca="1">$K$410-EFEITO!$M$410*EFEITO!$Z$410</f>
        <v>0</v>
      </c>
      <c r="O410" s="55">
        <f>$L$410-EFEITO!$O$410*EFEITO!$AA$410</f>
        <v>0</v>
      </c>
      <c r="P410" s="39"/>
      <c r="Q410" s="39"/>
      <c r="R410" s="39"/>
      <c r="S410" s="39"/>
      <c r="T410" s="39"/>
      <c r="U410" s="39"/>
      <c r="V410" s="39"/>
      <c r="W410" s="39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1.25" customHeight="1" x14ac:dyDescent="0.2">
      <c r="A411" s="35" t="s">
        <v>21</v>
      </c>
      <c r="B411" s="35" t="s">
        <v>46</v>
      </c>
      <c r="C411" s="35" t="s">
        <v>23</v>
      </c>
      <c r="D411" s="35" t="s">
        <v>47</v>
      </c>
      <c r="E411" s="35" t="s">
        <v>49</v>
      </c>
      <c r="F411" s="35" t="s">
        <v>25</v>
      </c>
      <c r="G411" s="35" t="s">
        <v>25</v>
      </c>
      <c r="H411" s="35" t="s">
        <v>25</v>
      </c>
      <c r="I411" s="54">
        <v>44562</v>
      </c>
      <c r="J411" s="55">
        <f>EFEITO!$J$411*EFEITO!$Y$411</f>
        <v>0</v>
      </c>
      <c r="K411" s="55">
        <f ca="1">EFEITO!$L$411*EFEITO!$Z$411</f>
        <v>40680.835887971363</v>
      </c>
      <c r="L411" s="55">
        <f>EFEITO!$N$411*EFEITO!$AA$411</f>
        <v>13064.886147045139</v>
      </c>
      <c r="M411" s="55">
        <f>$J$411-EFEITO!$K$411*EFEITO!$Y$411</f>
        <v>0</v>
      </c>
      <c r="N411" s="55">
        <f ca="1">$K$411-EFEITO!$M$411*EFEITO!$Z$411</f>
        <v>0</v>
      </c>
      <c r="O411" s="55">
        <f>$L$411-EFEITO!$O$411*EFEITO!$AA$411</f>
        <v>0</v>
      </c>
      <c r="P411" s="39"/>
      <c r="Q411" s="39"/>
      <c r="R411" s="39"/>
      <c r="S411" s="39"/>
      <c r="T411" s="39"/>
      <c r="U411" s="39"/>
      <c r="V411" s="39"/>
      <c r="W411" s="39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1.25" customHeight="1" x14ac:dyDescent="0.2">
      <c r="A412" s="35" t="s">
        <v>21</v>
      </c>
      <c r="B412" s="35" t="s">
        <v>46</v>
      </c>
      <c r="C412" s="35" t="s">
        <v>23</v>
      </c>
      <c r="D412" s="35" t="s">
        <v>47</v>
      </c>
      <c r="E412" s="35" t="s">
        <v>49</v>
      </c>
      <c r="F412" s="35" t="s">
        <v>25</v>
      </c>
      <c r="G412" s="35" t="s">
        <v>25</v>
      </c>
      <c r="H412" s="35" t="s">
        <v>25</v>
      </c>
      <c r="I412" s="54">
        <v>44593</v>
      </c>
      <c r="J412" s="55">
        <f>EFEITO!$J$412*EFEITO!$Y$412</f>
        <v>0</v>
      </c>
      <c r="K412" s="55">
        <f ca="1">EFEITO!$L$412*EFEITO!$Z$412</f>
        <v>40680.835887971363</v>
      </c>
      <c r="L412" s="55">
        <f>EFEITO!$N$412*EFEITO!$AA$412</f>
        <v>13064.886147045139</v>
      </c>
      <c r="M412" s="55">
        <f>$J$412-EFEITO!$K$412*EFEITO!$Y$412</f>
        <v>0</v>
      </c>
      <c r="N412" s="55">
        <f ca="1">$K$412-EFEITO!$M$412*EFEITO!$Z$412</f>
        <v>0</v>
      </c>
      <c r="O412" s="55">
        <f>$L$412-EFEITO!$O$412*EFEITO!$AA$412</f>
        <v>0</v>
      </c>
      <c r="P412" s="39"/>
      <c r="Q412" s="39"/>
      <c r="R412" s="39"/>
      <c r="S412" s="39"/>
      <c r="T412" s="39"/>
      <c r="U412" s="39"/>
      <c r="V412" s="39"/>
      <c r="W412" s="39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1.25" customHeight="1" x14ac:dyDescent="0.2">
      <c r="A413" s="35" t="s">
        <v>21</v>
      </c>
      <c r="B413" s="35" t="s">
        <v>46</v>
      </c>
      <c r="C413" s="35" t="s">
        <v>23</v>
      </c>
      <c r="D413" s="35" t="s">
        <v>47</v>
      </c>
      <c r="E413" s="35" t="s">
        <v>49</v>
      </c>
      <c r="F413" s="35" t="s">
        <v>25</v>
      </c>
      <c r="G413" s="35" t="s">
        <v>25</v>
      </c>
      <c r="H413" s="35" t="s">
        <v>25</v>
      </c>
      <c r="I413" s="54">
        <v>44621</v>
      </c>
      <c r="J413" s="55">
        <f>EFEITO!$J$413*EFEITO!$Y$413</f>
        <v>0</v>
      </c>
      <c r="K413" s="55">
        <f ca="1">EFEITO!$L$413*EFEITO!$Z$413</f>
        <v>40680.835887971363</v>
      </c>
      <c r="L413" s="55">
        <f>EFEITO!$N$413*EFEITO!$AA$413</f>
        <v>13064.886147045139</v>
      </c>
      <c r="M413" s="55">
        <f>$J$413-EFEITO!$K$413*EFEITO!$Y$413</f>
        <v>0</v>
      </c>
      <c r="N413" s="55">
        <f ca="1">$K$413-EFEITO!$M$413*EFEITO!$Z$413</f>
        <v>0</v>
      </c>
      <c r="O413" s="55">
        <f>$L$413-EFEITO!$O$413*EFEITO!$AA$413</f>
        <v>0</v>
      </c>
      <c r="P413" s="39"/>
      <c r="Q413" s="39"/>
      <c r="R413" s="39"/>
      <c r="S413" s="39"/>
      <c r="T413" s="39"/>
      <c r="U413" s="39"/>
      <c r="V413" s="39"/>
      <c r="W413" s="39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1.25" customHeight="1" x14ac:dyDescent="0.2">
      <c r="A414" s="35" t="s">
        <v>21</v>
      </c>
      <c r="B414" s="35" t="s">
        <v>46</v>
      </c>
      <c r="C414" s="35" t="s">
        <v>23</v>
      </c>
      <c r="D414" s="35" t="s">
        <v>47</v>
      </c>
      <c r="E414" s="35" t="s">
        <v>49</v>
      </c>
      <c r="F414" s="35" t="s">
        <v>25</v>
      </c>
      <c r="G414" s="35" t="s">
        <v>25</v>
      </c>
      <c r="H414" s="35" t="s">
        <v>25</v>
      </c>
      <c r="I414" s="54">
        <v>44652</v>
      </c>
      <c r="J414" s="55">
        <f>EFEITO!$J$414*EFEITO!$Y$414</f>
        <v>0</v>
      </c>
      <c r="K414" s="55">
        <f ca="1">EFEITO!$L$414*EFEITO!$Z$414</f>
        <v>40680.835887971363</v>
      </c>
      <c r="L414" s="55">
        <f>EFEITO!$N$414*EFEITO!$AA$414</f>
        <v>13064.886147045139</v>
      </c>
      <c r="M414" s="55">
        <f>$J$414-EFEITO!$K$414*EFEITO!$Y$414</f>
        <v>0</v>
      </c>
      <c r="N414" s="55">
        <f ca="1">$K$414-EFEITO!$M$414*EFEITO!$Z$414</f>
        <v>0</v>
      </c>
      <c r="O414" s="55">
        <f>$L$414-EFEITO!$O$414*EFEITO!$AA$414</f>
        <v>0</v>
      </c>
      <c r="P414" s="39"/>
      <c r="Q414" s="39"/>
      <c r="R414" s="39"/>
      <c r="S414" s="39"/>
      <c r="T414" s="39"/>
      <c r="U414" s="39"/>
      <c r="V414" s="39"/>
      <c r="W414" s="39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1.25" customHeight="1" x14ac:dyDescent="0.2">
      <c r="A415" s="35" t="s">
        <v>21</v>
      </c>
      <c r="B415" s="35" t="s">
        <v>46</v>
      </c>
      <c r="C415" s="35" t="s">
        <v>23</v>
      </c>
      <c r="D415" s="35" t="s">
        <v>47</v>
      </c>
      <c r="E415" s="35" t="s">
        <v>49</v>
      </c>
      <c r="F415" s="35" t="s">
        <v>25</v>
      </c>
      <c r="G415" s="35" t="s">
        <v>25</v>
      </c>
      <c r="H415" s="35" t="s">
        <v>25</v>
      </c>
      <c r="I415" s="54">
        <v>44682</v>
      </c>
      <c r="J415" s="55">
        <f>EFEITO!$J$415*EFEITO!$Y$415</f>
        <v>0</v>
      </c>
      <c r="K415" s="55">
        <f ca="1">EFEITO!$L$415*EFEITO!$Z$415</f>
        <v>40680.835887971363</v>
      </c>
      <c r="L415" s="55">
        <f>EFEITO!$N$415*EFEITO!$AA$415</f>
        <v>13064.886147045139</v>
      </c>
      <c r="M415" s="55">
        <f>$J$415-EFEITO!$K$415*EFEITO!$Y$415</f>
        <v>0</v>
      </c>
      <c r="N415" s="55">
        <f ca="1">$K$415-EFEITO!$M$415*EFEITO!$Z$415</f>
        <v>0</v>
      </c>
      <c r="O415" s="55">
        <f>$L$415-EFEITO!$O$415*EFEITO!$AA$415</f>
        <v>0</v>
      </c>
      <c r="P415" s="39"/>
      <c r="Q415" s="39"/>
      <c r="R415" s="39"/>
      <c r="S415" s="39"/>
      <c r="T415" s="39"/>
      <c r="U415" s="39"/>
      <c r="V415" s="39"/>
      <c r="W415" s="39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1.25" customHeight="1" x14ac:dyDescent="0.2">
      <c r="A416" s="35" t="s">
        <v>21</v>
      </c>
      <c r="B416" s="35" t="s">
        <v>46</v>
      </c>
      <c r="C416" s="35" t="s">
        <v>23</v>
      </c>
      <c r="D416" s="35" t="s">
        <v>47</v>
      </c>
      <c r="E416" s="35" t="s">
        <v>49</v>
      </c>
      <c r="F416" s="35" t="s">
        <v>25</v>
      </c>
      <c r="G416" s="35" t="s">
        <v>25</v>
      </c>
      <c r="H416" s="35" t="s">
        <v>25</v>
      </c>
      <c r="I416" s="54">
        <v>44713</v>
      </c>
      <c r="J416" s="55">
        <f>EFEITO!$J$416*EFEITO!$Y$416</f>
        <v>0</v>
      </c>
      <c r="K416" s="55">
        <f ca="1">EFEITO!$L$416*EFEITO!$Z$416</f>
        <v>41543.535179354672</v>
      </c>
      <c r="L416" s="55">
        <f>EFEITO!$N$416*EFEITO!$AA$416</f>
        <v>13341.947022885994</v>
      </c>
      <c r="M416" s="55">
        <f>$J$416-EFEITO!$K$416*EFEITO!$Y$416</f>
        <v>0</v>
      </c>
      <c r="N416" s="55">
        <f ca="1">$K$416-EFEITO!$M$416*EFEITO!$Z$416</f>
        <v>0</v>
      </c>
      <c r="O416" s="55">
        <f>$L$416-EFEITO!$O$416*EFEITO!$AA$416</f>
        <v>0</v>
      </c>
      <c r="P416" s="39"/>
      <c r="Q416" s="39"/>
      <c r="R416" s="39"/>
      <c r="S416" s="39"/>
      <c r="T416" s="39"/>
      <c r="U416" s="39"/>
      <c r="V416" s="39"/>
      <c r="W416" s="39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1.25" customHeight="1" x14ac:dyDescent="0.2">
      <c r="A417" s="35" t="s">
        <v>21</v>
      </c>
      <c r="B417" s="35" t="s">
        <v>46</v>
      </c>
      <c r="C417" s="35" t="s">
        <v>23</v>
      </c>
      <c r="D417" s="35" t="s">
        <v>47</v>
      </c>
      <c r="E417" s="35" t="s">
        <v>49</v>
      </c>
      <c r="F417" s="35" t="s">
        <v>25</v>
      </c>
      <c r="G417" s="35" t="s">
        <v>25</v>
      </c>
      <c r="H417" s="35" t="s">
        <v>25</v>
      </c>
      <c r="I417" s="54">
        <v>44743</v>
      </c>
      <c r="J417" s="55">
        <f>EFEITO!$J$417*EFEITO!$Y$417</f>
        <v>0</v>
      </c>
      <c r="K417" s="55">
        <f ca="1">EFEITO!$L$417*EFEITO!$Z$417</f>
        <v>42824.031419002698</v>
      </c>
      <c r="L417" s="55">
        <f>EFEITO!$N$417*EFEITO!$AA$417</f>
        <v>13753.185809345334</v>
      </c>
      <c r="M417" s="55">
        <f>$J$417-EFEITO!$K$417*EFEITO!$Y$417</f>
        <v>0</v>
      </c>
      <c r="N417" s="55">
        <f ca="1">$K$417-EFEITO!$M$417*EFEITO!$Z$417</f>
        <v>0</v>
      </c>
      <c r="O417" s="55">
        <f>$L$417-EFEITO!$O$417*EFEITO!$AA$417</f>
        <v>0</v>
      </c>
      <c r="P417" s="39"/>
      <c r="Q417" s="39"/>
      <c r="R417" s="39"/>
      <c r="S417" s="39"/>
      <c r="T417" s="39"/>
      <c r="U417" s="39"/>
      <c r="V417" s="39"/>
      <c r="W417" s="39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1.25" customHeight="1" x14ac:dyDescent="0.2">
      <c r="A418" s="35" t="s">
        <v>21</v>
      </c>
      <c r="B418" s="35" t="s">
        <v>46</v>
      </c>
      <c r="C418" s="35" t="s">
        <v>23</v>
      </c>
      <c r="D418" s="35" t="s">
        <v>47</v>
      </c>
      <c r="E418" s="35" t="s">
        <v>49</v>
      </c>
      <c r="F418" s="35" t="s">
        <v>25</v>
      </c>
      <c r="G418" s="35" t="s">
        <v>25</v>
      </c>
      <c r="H418" s="35" t="s">
        <v>25</v>
      </c>
      <c r="I418" s="54">
        <v>44774</v>
      </c>
      <c r="J418" s="55">
        <f>EFEITO!$J$418*EFEITO!$Y$418</f>
        <v>0</v>
      </c>
      <c r="K418" s="55">
        <f ca="1">EFEITO!$L$418*EFEITO!$Z$418</f>
        <v>38610.856078671721</v>
      </c>
      <c r="L418" s="55">
        <f>EFEITO!$N$418*EFEITO!$AA$418</f>
        <v>12400.100137985319</v>
      </c>
      <c r="M418" s="55">
        <f>$J$418-EFEITO!$K$418*EFEITO!$Y$418</f>
        <v>0</v>
      </c>
      <c r="N418" s="55">
        <f ca="1">$K$418-EFEITO!$M$418*EFEITO!$Z$418</f>
        <v>0</v>
      </c>
      <c r="O418" s="55">
        <f>$L$418-EFEITO!$O$418*EFEITO!$AA$418</f>
        <v>0</v>
      </c>
      <c r="P418" s="39"/>
      <c r="Q418" s="39"/>
      <c r="R418" s="39"/>
      <c r="S418" s="39"/>
      <c r="T418" s="39"/>
      <c r="U418" s="39"/>
      <c r="V418" s="39"/>
      <c r="W418" s="39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FB31-9B7A-4D8C-9A84-A567E7A88BD6}">
  <dimension ref="A1:BD103"/>
  <sheetViews>
    <sheetView showGridLines="0" topLeftCell="E41" workbookViewId="0">
      <selection activeCell="L53" sqref="L53:BD103"/>
    </sheetView>
  </sheetViews>
  <sheetFormatPr defaultRowHeight="11.25" customHeight="1" x14ac:dyDescent="0.3"/>
  <cols>
    <col min="1" max="1" width="9" style="9" bestFit="1" customWidth="1"/>
    <col min="2" max="2" width="21.33203125" style="9" bestFit="1" customWidth="1"/>
    <col min="3" max="3" width="30.33203125" style="9" bestFit="1" customWidth="1"/>
    <col min="4" max="4" width="51.5546875" style="9" bestFit="1" customWidth="1"/>
    <col min="5" max="5" width="60.5546875" style="9" bestFit="1" customWidth="1"/>
    <col min="6" max="6" width="69.5546875" style="9" bestFit="1" customWidth="1"/>
    <col min="7" max="7" width="70.664062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7.109375" style="9" bestFit="1" customWidth="1"/>
    <col min="21" max="21" width="7" style="9" bestFit="1" customWidth="1"/>
    <col min="22" max="22" width="9.21875" style="9" bestFit="1" customWidth="1"/>
    <col min="23" max="23" width="9.33203125" style="9" bestFit="1" customWidth="1"/>
    <col min="24" max="24" width="9.109375" style="9" bestFit="1" customWidth="1"/>
    <col min="25" max="25" width="7.109375" style="9" bestFit="1" customWidth="1"/>
    <col min="26" max="26" width="9.33203125" style="9" bestFit="1" customWidth="1"/>
    <col min="27" max="27" width="11.109375" style="9" bestFit="1" customWidth="1"/>
    <col min="28" max="28" width="7.77734375" style="9" bestFit="1" customWidth="1"/>
    <col min="29" max="29" width="6.88671875" style="9" bestFit="1" customWidth="1"/>
    <col min="30" max="30" width="14.44140625" style="9" bestFit="1" customWidth="1"/>
    <col min="31" max="31" width="17.5546875" style="9" bestFit="1" customWidth="1"/>
    <col min="32" max="32" width="18.109375" style="9" bestFit="1" customWidth="1"/>
    <col min="33" max="33" width="3.5546875" style="9" bestFit="1" customWidth="1"/>
    <col min="34" max="34" width="8.88671875" style="9"/>
    <col min="35" max="35" width="12.44140625" style="9" bestFit="1" customWidth="1"/>
    <col min="36" max="36" width="7.109375" style="9" bestFit="1" customWidth="1"/>
    <col min="37" max="37" width="3.77734375" style="9" bestFit="1" customWidth="1"/>
    <col min="38" max="38" width="3.88671875" style="9" bestFit="1" customWidth="1"/>
    <col min="39" max="39" width="3.77734375" style="9" bestFit="1" customWidth="1"/>
    <col min="40" max="40" width="9.109375" style="9" bestFit="1" customWidth="1"/>
    <col min="41" max="41" width="7.88671875" style="9" bestFit="1" customWidth="1"/>
    <col min="42" max="42" width="8" style="9" bestFit="1" customWidth="1"/>
    <col min="43" max="43" width="7.109375" style="9" bestFit="1" customWidth="1"/>
    <col min="44" max="44" width="7" style="9" bestFit="1" customWidth="1"/>
    <col min="45" max="45" width="9.21875" style="9" bestFit="1" customWidth="1"/>
    <col min="46" max="46" width="9.33203125" style="9" bestFit="1" customWidth="1"/>
    <col min="47" max="47" width="9.109375" style="9" bestFit="1" customWidth="1"/>
    <col min="48" max="48" width="7.109375" style="9" bestFit="1" customWidth="1"/>
    <col min="49" max="49" width="9.33203125" style="9" bestFit="1" customWidth="1"/>
    <col min="50" max="50" width="11.109375" style="9" bestFit="1" customWidth="1"/>
    <col min="51" max="51" width="7.77734375" style="9" bestFit="1" customWidth="1"/>
    <col min="52" max="52" width="6.88671875" style="9" bestFit="1" customWidth="1"/>
    <col min="53" max="53" width="14.44140625" style="9" bestFit="1" customWidth="1"/>
    <col min="54" max="54" width="17.5546875" style="9" bestFit="1" customWidth="1"/>
    <col min="55" max="55" width="18.109375" style="9" bestFit="1" customWidth="1"/>
    <col min="56" max="56" width="3.5546875" style="9" bestFit="1" customWidth="1"/>
    <col min="57" max="16384" width="8.88671875" style="9"/>
  </cols>
  <sheetData>
    <row r="1" spans="1:56" ht="11.25" customHeight="1" x14ac:dyDescent="0.3">
      <c r="A1" s="91" t="s">
        <v>60</v>
      </c>
      <c r="B1" s="91" t="s">
        <v>61</v>
      </c>
      <c r="C1" s="91" t="s">
        <v>62</v>
      </c>
      <c r="D1" s="91" t="s">
        <v>63</v>
      </c>
      <c r="E1" s="91" t="s">
        <v>64</v>
      </c>
      <c r="F1" s="91" t="s">
        <v>15</v>
      </c>
      <c r="G1" s="91" t="s">
        <v>66</v>
      </c>
      <c r="H1" s="91" t="s">
        <v>67</v>
      </c>
      <c r="I1" s="91" t="s">
        <v>600</v>
      </c>
      <c r="J1" s="84"/>
      <c r="L1" s="92" t="s">
        <v>801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I1" s="92" t="s">
        <v>802</v>
      </c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</row>
    <row r="2" spans="1:56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499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I2" s="92" t="s">
        <v>499</v>
      </c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</row>
    <row r="3" spans="1:56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500</v>
      </c>
      <c r="M3" s="92"/>
      <c r="N3" s="92"/>
      <c r="O3" s="92"/>
      <c r="P3" s="92"/>
      <c r="Q3" s="92"/>
      <c r="R3" s="92"/>
      <c r="S3" s="92"/>
      <c r="T3" s="92" t="s">
        <v>509</v>
      </c>
      <c r="U3" s="92"/>
      <c r="V3" s="92"/>
      <c r="W3" s="92"/>
      <c r="X3" s="92"/>
      <c r="Y3" s="92"/>
      <c r="Z3" s="92"/>
      <c r="AA3" s="10" t="s">
        <v>517</v>
      </c>
      <c r="AB3" s="92" t="s">
        <v>519</v>
      </c>
      <c r="AC3" s="92"/>
      <c r="AD3" s="92" t="s">
        <v>522</v>
      </c>
      <c r="AE3" s="92"/>
      <c r="AF3" s="92"/>
      <c r="AG3" s="92"/>
      <c r="AI3" s="92" t="s">
        <v>500</v>
      </c>
      <c r="AJ3" s="92"/>
      <c r="AK3" s="92"/>
      <c r="AL3" s="92"/>
      <c r="AM3" s="92"/>
      <c r="AN3" s="92"/>
      <c r="AO3" s="92"/>
      <c r="AP3" s="92"/>
      <c r="AQ3" s="92" t="s">
        <v>509</v>
      </c>
      <c r="AR3" s="92"/>
      <c r="AS3" s="92"/>
      <c r="AT3" s="92"/>
      <c r="AU3" s="92"/>
      <c r="AV3" s="92"/>
      <c r="AW3" s="92"/>
      <c r="AX3" s="10" t="s">
        <v>517</v>
      </c>
      <c r="AY3" s="92" t="s">
        <v>519</v>
      </c>
      <c r="AZ3" s="92"/>
      <c r="BA3" s="92" t="s">
        <v>522</v>
      </c>
      <c r="BB3" s="92"/>
      <c r="BC3" s="92"/>
      <c r="BD3" s="92"/>
    </row>
    <row r="4" spans="1:56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585</v>
      </c>
      <c r="M4" s="10" t="s">
        <v>501</v>
      </c>
      <c r="N4" s="10" t="s">
        <v>502</v>
      </c>
      <c r="O4" s="10" t="s">
        <v>503</v>
      </c>
      <c r="P4" s="10" t="s">
        <v>504</v>
      </c>
      <c r="Q4" s="10" t="s">
        <v>505</v>
      </c>
      <c r="R4" s="10" t="s">
        <v>506</v>
      </c>
      <c r="S4" s="10" t="s">
        <v>507</v>
      </c>
      <c r="T4" s="10" t="s">
        <v>510</v>
      </c>
      <c r="U4" s="10" t="s">
        <v>511</v>
      </c>
      <c r="V4" s="10" t="s">
        <v>512</v>
      </c>
      <c r="W4" s="10" t="s">
        <v>513</v>
      </c>
      <c r="X4" s="10" t="s">
        <v>514</v>
      </c>
      <c r="Y4" s="10" t="s">
        <v>515</v>
      </c>
      <c r="Z4" s="10" t="s">
        <v>516</v>
      </c>
      <c r="AA4" s="10" t="s">
        <v>518</v>
      </c>
      <c r="AB4" s="10" t="s">
        <v>520</v>
      </c>
      <c r="AC4" s="10" t="s">
        <v>521</v>
      </c>
      <c r="AD4" s="10" t="s">
        <v>523</v>
      </c>
      <c r="AE4" s="10" t="s">
        <v>524</v>
      </c>
      <c r="AF4" s="10" t="s">
        <v>525</v>
      </c>
      <c r="AG4" s="10" t="s">
        <v>526</v>
      </c>
      <c r="AI4" s="10" t="s">
        <v>585</v>
      </c>
      <c r="AJ4" s="10" t="s">
        <v>501</v>
      </c>
      <c r="AK4" s="10" t="s">
        <v>502</v>
      </c>
      <c r="AL4" s="10" t="s">
        <v>503</v>
      </c>
      <c r="AM4" s="10" t="s">
        <v>504</v>
      </c>
      <c r="AN4" s="10" t="s">
        <v>505</v>
      </c>
      <c r="AO4" s="10" t="s">
        <v>506</v>
      </c>
      <c r="AP4" s="10" t="s">
        <v>507</v>
      </c>
      <c r="AQ4" s="10" t="s">
        <v>510</v>
      </c>
      <c r="AR4" s="10" t="s">
        <v>511</v>
      </c>
      <c r="AS4" s="10" t="s">
        <v>512</v>
      </c>
      <c r="AT4" s="10" t="s">
        <v>513</v>
      </c>
      <c r="AU4" s="10" t="s">
        <v>514</v>
      </c>
      <c r="AV4" s="10" t="s">
        <v>515</v>
      </c>
      <c r="AW4" s="10" t="s">
        <v>516</v>
      </c>
      <c r="AX4" s="10" t="s">
        <v>518</v>
      </c>
      <c r="AY4" s="10" t="s">
        <v>520</v>
      </c>
      <c r="AZ4" s="10" t="s">
        <v>521</v>
      </c>
      <c r="BA4" s="10" t="s">
        <v>523</v>
      </c>
      <c r="BB4" s="10" t="s">
        <v>524</v>
      </c>
      <c r="BC4" s="10" t="s">
        <v>525</v>
      </c>
      <c r="BD4" s="10" t="s">
        <v>526</v>
      </c>
    </row>
    <row r="5" spans="1:56" ht="11.25" customHeight="1" x14ac:dyDescent="0.3">
      <c r="A5" s="95" t="s">
        <v>37</v>
      </c>
      <c r="B5" s="95" t="s">
        <v>41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76</v>
      </c>
      <c r="H5" s="18" t="s">
        <v>75</v>
      </c>
      <c r="I5" s="18">
        <f>'MERCADO TUSD'!$U$2</f>
        <v>6523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38.993051515073411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60.838759569271332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36.289060680893101</v>
      </c>
      <c r="AV5" s="13">
        <v>0</v>
      </c>
      <c r="AW5" s="13">
        <v>0</v>
      </c>
      <c r="AX5" s="13">
        <v>53.130946307193398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3">
      <c r="A6" s="95"/>
      <c r="B6" s="95"/>
      <c r="C6" s="95"/>
      <c r="D6" s="95"/>
      <c r="E6" s="95"/>
      <c r="F6" s="95"/>
      <c r="G6" s="18" t="s">
        <v>77</v>
      </c>
      <c r="H6" s="18" t="s">
        <v>75</v>
      </c>
      <c r="I6" s="18">
        <f>'MERCADO TUSD'!$U$3</f>
        <v>6575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15.760477009601493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17.000390313813732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14.6675265158889</v>
      </c>
      <c r="AV6" s="13">
        <v>0</v>
      </c>
      <c r="AW6" s="13">
        <v>0</v>
      </c>
      <c r="AX6" s="13">
        <v>14.8465774511472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3">
      <c r="A7" s="95"/>
      <c r="B7" s="95"/>
      <c r="C7" s="95"/>
      <c r="D7" s="95"/>
      <c r="E7" s="95"/>
      <c r="F7" s="95"/>
      <c r="G7" s="18" t="s">
        <v>74</v>
      </c>
      <c r="H7" s="18" t="s">
        <v>70</v>
      </c>
      <c r="I7" s="18">
        <f>'MERCADO TUSD'!$U$4</f>
        <v>4102.5690000000004</v>
      </c>
      <c r="J7" s="15"/>
      <c r="L7" s="13">
        <f>('TUSD BE'!$L$7+'TUSD BF'!$L$7+'TUSD CVA'!$L$7)*1</f>
        <v>0</v>
      </c>
      <c r="M7" s="13">
        <f>('TUSD BE'!$M$7+'TUSD BF'!$M$7+'TUSD CVA'!$M$7)*1</f>
        <v>1.1369002013972207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77.110140446439502</v>
      </c>
      <c r="R7" s="13">
        <f>('TUSD BE'!$R$7+'TUSD BF'!$R$7+'TUSD CVA'!$R$7)*1</f>
        <v>14.499870257332329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11.586136688545011</v>
      </c>
      <c r="AE7" s="13">
        <f>('TUSD BE'!$AI$7+'TUSD BF'!$AI$7+'TUSD CVA'!$AI$7)*1</f>
        <v>0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0.98208285869505396</v>
      </c>
      <c r="AK7" s="13">
        <v>0</v>
      </c>
      <c r="AL7" s="13">
        <v>0</v>
      </c>
      <c r="AM7" s="13">
        <v>0</v>
      </c>
      <c r="AN7" s="13">
        <v>50.885603599661103</v>
      </c>
      <c r="AO7" s="13">
        <v>9.1186283768067309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12.9921737974701</v>
      </c>
      <c r="BB7" s="13">
        <v>0</v>
      </c>
      <c r="BC7" s="13">
        <v>0</v>
      </c>
      <c r="BD7" s="13">
        <v>0</v>
      </c>
    </row>
    <row r="8" spans="1:56" ht="11.25" customHeight="1" x14ac:dyDescent="0.3">
      <c r="A8" s="95"/>
      <c r="B8" s="95"/>
      <c r="C8" s="95"/>
      <c r="D8" s="95"/>
      <c r="E8" s="17" t="s">
        <v>78</v>
      </c>
      <c r="F8" s="17" t="s">
        <v>25</v>
      </c>
      <c r="G8" s="18" t="s">
        <v>74</v>
      </c>
      <c r="H8" s="18" t="s">
        <v>70</v>
      </c>
      <c r="I8" s="18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1.1369002013972207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11.586136688545011</v>
      </c>
      <c r="AE8" s="13">
        <f>('TUSD BE'!$AI$8+'TUSD BF'!$AI$8+'TUSD CVA'!$AI$8)*1</f>
        <v>0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0.98208285869505396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12.9921737974701</v>
      </c>
      <c r="BB8" s="13">
        <v>0</v>
      </c>
      <c r="BC8" s="13">
        <v>0</v>
      </c>
      <c r="BD8" s="13">
        <v>0</v>
      </c>
    </row>
    <row r="9" spans="1:56" ht="11.25" customHeight="1" x14ac:dyDescent="0.3">
      <c r="A9" s="95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75</v>
      </c>
      <c r="I9" s="18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1.1196239363940602E-2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4.6145992226305825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1.03254106716029E-2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4.0299558435148404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75</v>
      </c>
      <c r="I10" s="18">
        <f>'MERCADO TUSD'!$U$7</f>
        <v>18005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15.760477009601493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17.000390313813732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14.6675265158889</v>
      </c>
      <c r="AV10" s="13">
        <v>0</v>
      </c>
      <c r="AW10" s="13">
        <v>0</v>
      </c>
      <c r="AX10" s="13">
        <v>14.8465774511472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3">
      <c r="A11" s="95"/>
      <c r="B11" s="95"/>
      <c r="C11" s="95"/>
      <c r="D11" s="95"/>
      <c r="E11" s="95"/>
      <c r="F11" s="95"/>
      <c r="G11" s="18" t="s">
        <v>71</v>
      </c>
      <c r="H11" s="18" t="s">
        <v>70</v>
      </c>
      <c r="I11" s="18">
        <f>'MERCADO TUSD'!$U$8</f>
        <v>126.06400000000002</v>
      </c>
      <c r="J11" s="15"/>
      <c r="L11" s="13">
        <f>('TUSD BE'!$L$11+'TUSD BF'!$L$11+'TUSD CVA'!$L$11)*1</f>
        <v>0</v>
      </c>
      <c r="M11" s="13">
        <f>('TUSD BE'!$M$11+'TUSD BF'!$M$11+'TUSD CVA'!$M$11)*1</f>
        <v>1.1369002013972207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77.110140446439502</v>
      </c>
      <c r="R11" s="13">
        <f>('TUSD BE'!$R$11+'TUSD BF'!$R$11+'TUSD CVA'!$R$11)*1</f>
        <v>14.499870257332329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938.15652308021924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1463.1732584404667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11.586136688545011</v>
      </c>
      <c r="AE11" s="13">
        <f>('TUSD BE'!$AI$11+'TUSD BF'!$AI$11+'TUSD CVA'!$AI$11)*1</f>
        <v>0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0.98208285869505396</v>
      </c>
      <c r="AK11" s="13">
        <v>0</v>
      </c>
      <c r="AL11" s="13">
        <v>0</v>
      </c>
      <c r="AM11" s="13">
        <v>0</v>
      </c>
      <c r="AN11" s="13">
        <v>50.885603599661103</v>
      </c>
      <c r="AO11" s="13">
        <v>9.1186283768067309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873.09921900677</v>
      </c>
      <c r="AV11" s="13">
        <v>0</v>
      </c>
      <c r="AW11" s="13">
        <v>0</v>
      </c>
      <c r="AX11" s="13">
        <v>1277.8001963300401</v>
      </c>
      <c r="AY11" s="13">
        <v>0</v>
      </c>
      <c r="AZ11" s="13">
        <v>0</v>
      </c>
      <c r="BA11" s="13">
        <v>12.9921737974701</v>
      </c>
      <c r="BB11" s="13">
        <v>0</v>
      </c>
      <c r="BC11" s="13">
        <v>0</v>
      </c>
      <c r="BD11" s="13">
        <v>0</v>
      </c>
    </row>
    <row r="12" spans="1:56" ht="11.25" customHeight="1" x14ac:dyDescent="0.3">
      <c r="A12" s="95"/>
      <c r="B12" s="95"/>
      <c r="C12" s="95"/>
      <c r="D12" s="95"/>
      <c r="E12" s="95"/>
      <c r="F12" s="95"/>
      <c r="G12" s="18" t="s">
        <v>72</v>
      </c>
      <c r="H12" s="18" t="s">
        <v>70</v>
      </c>
      <c r="I12" s="18">
        <f>'MERCADO TUSD'!$U$9</f>
        <v>4809.674</v>
      </c>
      <c r="J12" s="15"/>
      <c r="L12" s="13">
        <f>('TUSD BE'!$L$12+'TUSD BF'!$L$12+'TUSD CVA'!$L$12)*1</f>
        <v>0</v>
      </c>
      <c r="M12" s="13">
        <f>('TUSD BE'!$M$12+'TUSD BF'!$M$12+'TUSD CVA'!$M$12)*1</f>
        <v>1.1369002013972207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77.110140446439502</v>
      </c>
      <c r="R12" s="13">
        <f>('TUSD BE'!$R$12+'TUSD BF'!$R$12+'TUSD CVA'!$R$12)*1</f>
        <v>14.499870257332329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11.586136688545011</v>
      </c>
      <c r="AE12" s="13">
        <f>('TUSD BE'!$AI$12+'TUSD BF'!$AI$12+'TUSD CVA'!$AI$12)*1</f>
        <v>0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0.98208285869505396</v>
      </c>
      <c r="AK12" s="13">
        <v>0</v>
      </c>
      <c r="AL12" s="13">
        <v>0</v>
      </c>
      <c r="AM12" s="13">
        <v>0</v>
      </c>
      <c r="AN12" s="13">
        <v>50.885603599661103</v>
      </c>
      <c r="AO12" s="13">
        <v>9.1186283768067309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12.9921737974701</v>
      </c>
      <c r="BB12" s="13">
        <v>0</v>
      </c>
      <c r="BC12" s="13">
        <v>0</v>
      </c>
      <c r="BD12" s="13">
        <v>0</v>
      </c>
    </row>
    <row r="13" spans="1:56" ht="11.25" customHeight="1" x14ac:dyDescent="0.3">
      <c r="A13" s="95"/>
      <c r="B13" s="95"/>
      <c r="C13" s="95"/>
      <c r="D13" s="95"/>
      <c r="E13" s="95" t="s">
        <v>78</v>
      </c>
      <c r="F13" s="95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1.1369002013972207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938.15652308021924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1463.1732584404667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11.586136688545011</v>
      </c>
      <c r="AE13" s="13">
        <f>('TUSD BE'!$AI$13+'TUSD BF'!$AI$13+'TUSD CVA'!$AI$13)*1</f>
        <v>0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0.98208285869505396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873.09921900677</v>
      </c>
      <c r="AV13" s="13">
        <v>0</v>
      </c>
      <c r="AW13" s="13">
        <v>0</v>
      </c>
      <c r="AX13" s="13">
        <v>1277.8001963300401</v>
      </c>
      <c r="AY13" s="13">
        <v>0</v>
      </c>
      <c r="AZ13" s="13">
        <v>0</v>
      </c>
      <c r="BA13" s="13">
        <v>12.9921737974701</v>
      </c>
      <c r="BB13" s="13">
        <v>0</v>
      </c>
      <c r="BC13" s="13">
        <v>0</v>
      </c>
      <c r="BD13" s="13">
        <v>0</v>
      </c>
    </row>
    <row r="14" spans="1:56" ht="11.25" customHeight="1" x14ac:dyDescent="0.3">
      <c r="A14" s="95"/>
      <c r="B14" s="95"/>
      <c r="C14" s="95"/>
      <c r="D14" s="95"/>
      <c r="E14" s="95"/>
      <c r="F14" s="95"/>
      <c r="G14" s="18" t="s">
        <v>72</v>
      </c>
      <c r="H14" s="18" t="s">
        <v>70</v>
      </c>
      <c r="I14" s="18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1.1369002013972207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11.586136688545011</v>
      </c>
      <c r="AE14" s="13">
        <f>('TUSD BE'!$AI$14+'TUSD BF'!$AI$14+'TUSD CVA'!$AI$14)*1</f>
        <v>0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0.98208285869505396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12.9921737974701</v>
      </c>
      <c r="BB14" s="13">
        <v>0</v>
      </c>
      <c r="BC14" s="13">
        <v>0</v>
      </c>
      <c r="BD14" s="13">
        <v>0</v>
      </c>
    </row>
    <row r="15" spans="1:56" ht="11.25" customHeight="1" x14ac:dyDescent="0.3">
      <c r="A15" s="95" t="s">
        <v>80</v>
      </c>
      <c r="B15" s="95" t="s">
        <v>79</v>
      </c>
      <c r="C15" s="95" t="s">
        <v>25</v>
      </c>
      <c r="D15" s="95" t="s">
        <v>25</v>
      </c>
      <c r="E15" s="17" t="s">
        <v>81</v>
      </c>
      <c r="F15" s="17" t="s">
        <v>25</v>
      </c>
      <c r="G15" s="18" t="s">
        <v>9</v>
      </c>
      <c r="H15" s="18" t="s">
        <v>75</v>
      </c>
      <c r="I15" s="18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1.1504392740929794E-2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7.9332165518559599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1.06204224050772E-2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6.9281375333299602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3">
      <c r="A16" s="95"/>
      <c r="B16" s="95"/>
      <c r="C16" s="95"/>
      <c r="D16" s="95"/>
      <c r="E16" s="17" t="s">
        <v>82</v>
      </c>
      <c r="F16" s="17" t="s">
        <v>25</v>
      </c>
      <c r="G16" s="18" t="s">
        <v>9</v>
      </c>
      <c r="H16" s="18" t="s">
        <v>75</v>
      </c>
      <c r="I16" s="18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1.1504392740929794E-2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16.140383300015746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1.06204224050772E-2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14.0955325291342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3">
      <c r="A17" s="95" t="s">
        <v>22</v>
      </c>
      <c r="B17" s="95" t="s">
        <v>33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71</v>
      </c>
      <c r="H17" s="18" t="s">
        <v>70</v>
      </c>
      <c r="I17" s="18">
        <f>'MERCADO TUSD'!$U$14</f>
        <v>0.66799999999999993</v>
      </c>
      <c r="J17" s="15"/>
      <c r="L17" s="13">
        <f>('TUSD BE'!$L$17+'TUSD BF'!$L$17+'TUSD CVA'!$L$17)*1</f>
        <v>0</v>
      </c>
      <c r="M17" s="13">
        <f>('TUSD BE'!$M$17+'TUSD BF'!$M$17+'TUSD CVA'!$M$17)*1</f>
        <v>2.6037935141612643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91.797786245761316</v>
      </c>
      <c r="R17" s="13">
        <f>('TUSD BE'!$R$17+'TUSD BF'!$R$17+'TUSD CVA'!$R$17)*1</f>
        <v>14.499870257332329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343.46536613979026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683.63719620683378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30.008720050328957</v>
      </c>
      <c r="AE17" s="13">
        <f>('TUSD BE'!$AI$17+'TUSD BF'!$AI$17+'TUSD CVA'!$AI$17)*1</f>
        <v>0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2.2477362080307799</v>
      </c>
      <c r="AK17" s="13">
        <v>0</v>
      </c>
      <c r="AL17" s="13">
        <v>0</v>
      </c>
      <c r="AM17" s="13">
        <v>0</v>
      </c>
      <c r="AN17" s="13">
        <v>58.489199539840399</v>
      </c>
      <c r="AO17" s="13">
        <v>9.1186283768067309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319.64744760655901</v>
      </c>
      <c r="AV17" s="13">
        <v>0</v>
      </c>
      <c r="AW17" s="13">
        <v>0</v>
      </c>
      <c r="AX17" s="13">
        <v>597.02551276485406</v>
      </c>
      <c r="AY17" s="13">
        <v>0</v>
      </c>
      <c r="AZ17" s="13">
        <v>0</v>
      </c>
      <c r="BA17" s="13">
        <v>33.6504990557426</v>
      </c>
      <c r="BB17" s="13">
        <v>0</v>
      </c>
      <c r="BC17" s="13">
        <v>0</v>
      </c>
      <c r="BD17" s="13">
        <v>0</v>
      </c>
    </row>
    <row r="18" spans="1:56" ht="11.25" customHeight="1" x14ac:dyDescent="0.3">
      <c r="A18" s="95"/>
      <c r="B18" s="95"/>
      <c r="C18" s="95"/>
      <c r="D18" s="95"/>
      <c r="E18" s="95"/>
      <c r="F18" s="95"/>
      <c r="G18" s="18" t="s">
        <v>83</v>
      </c>
      <c r="H18" s="18" t="s">
        <v>70</v>
      </c>
      <c r="I18" s="18">
        <f>'MERCADO TUSD'!$U$15</f>
        <v>0.34</v>
      </c>
      <c r="J18" s="15"/>
      <c r="L18" s="13">
        <f>('TUSD BE'!$L$18+'TUSD BF'!$L$18+'TUSD CVA'!$L$18)*1</f>
        <v>0</v>
      </c>
      <c r="M18" s="13">
        <f>('TUSD BE'!$M$18+'TUSD BF'!$M$18+'TUSD CVA'!$M$18)*1</f>
        <v>2.6037935141612643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91.797786245761316</v>
      </c>
      <c r="R18" s="13">
        <f>('TUSD BE'!$R$18+'TUSD BF'!$R$18+'TUSD CVA'!$R$18)*1</f>
        <v>14.499870257332329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206.07925870775452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410.18251605128046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30.008720050328957</v>
      </c>
      <c r="AE18" s="13">
        <f>('TUSD BE'!$AI$18+'TUSD BF'!$AI$18+'TUSD CVA'!$AI$18)*1</f>
        <v>0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2.2477362080307799</v>
      </c>
      <c r="AK18" s="13">
        <v>0</v>
      </c>
      <c r="AL18" s="13">
        <v>0</v>
      </c>
      <c r="AM18" s="13">
        <v>0</v>
      </c>
      <c r="AN18" s="13">
        <v>58.489199539840399</v>
      </c>
      <c r="AO18" s="13">
        <v>9.1186283768067309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191.78848673840801</v>
      </c>
      <c r="AV18" s="13">
        <v>0</v>
      </c>
      <c r="AW18" s="13">
        <v>0</v>
      </c>
      <c r="AX18" s="13">
        <v>358.21549391737602</v>
      </c>
      <c r="AY18" s="13">
        <v>0</v>
      </c>
      <c r="AZ18" s="13">
        <v>0</v>
      </c>
      <c r="BA18" s="13">
        <v>33.6504990557426</v>
      </c>
      <c r="BB18" s="13">
        <v>0</v>
      </c>
      <c r="BC18" s="13">
        <v>0</v>
      </c>
      <c r="BD18" s="13">
        <v>0</v>
      </c>
    </row>
    <row r="19" spans="1:56" ht="11.25" customHeight="1" x14ac:dyDescent="0.3">
      <c r="A19" s="95"/>
      <c r="B19" s="95"/>
      <c r="C19" s="95"/>
      <c r="D19" s="95"/>
      <c r="E19" s="95"/>
      <c r="F19" s="95"/>
      <c r="G19" s="18" t="s">
        <v>72</v>
      </c>
      <c r="H19" s="18" t="s">
        <v>70</v>
      </c>
      <c r="I19" s="18">
        <f>'MERCADO TUSD'!$U$16</f>
        <v>8.6609999999999996</v>
      </c>
      <c r="J19" s="15"/>
      <c r="L19" s="13">
        <f>('TUSD BE'!$L$19+'TUSD BF'!$L$19+'TUSD CVA'!$L$19)*1</f>
        <v>0</v>
      </c>
      <c r="M19" s="13">
        <f>('TUSD BE'!$M$19+'TUSD BF'!$M$19+'TUSD CVA'!$M$19)*1</f>
        <v>2.6037935141612643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91.797786245761316</v>
      </c>
      <c r="R19" s="13">
        <f>('TUSD BE'!$R$19+'TUSD BF'!$R$19+'TUSD CVA'!$R$19)*1</f>
        <v>14.499870257332329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68.755882163430584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136.72731852047448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30.008720050328957</v>
      </c>
      <c r="AE19" s="13">
        <f>('TUSD BE'!$AI$19+'TUSD BF'!$AI$19+'TUSD CVA'!$AI$19)*1</f>
        <v>0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2.2477362080307799</v>
      </c>
      <c r="AK19" s="13">
        <v>0</v>
      </c>
      <c r="AL19" s="13">
        <v>0</v>
      </c>
      <c r="AM19" s="13">
        <v>0</v>
      </c>
      <c r="AN19" s="13">
        <v>58.489199539840399</v>
      </c>
      <c r="AO19" s="13">
        <v>9.1186283768067309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63.987956800258999</v>
      </c>
      <c r="AV19" s="13">
        <v>0</v>
      </c>
      <c r="AW19" s="13">
        <v>0</v>
      </c>
      <c r="AX19" s="13">
        <v>119.405009423739</v>
      </c>
      <c r="AY19" s="13">
        <v>0</v>
      </c>
      <c r="AZ19" s="13">
        <v>0</v>
      </c>
      <c r="BA19" s="13">
        <v>33.6504990557426</v>
      </c>
      <c r="BB19" s="13">
        <v>0</v>
      </c>
      <c r="BC19" s="13">
        <v>0</v>
      </c>
      <c r="BD19" s="13">
        <v>0</v>
      </c>
    </row>
    <row r="20" spans="1:56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74</v>
      </c>
      <c r="H20" s="18" t="s">
        <v>70</v>
      </c>
      <c r="I20" s="18">
        <f>'MERCADO TUSD'!$U$17</f>
        <v>15958.987000000001</v>
      </c>
      <c r="J20" s="15"/>
      <c r="L20" s="13">
        <f>('TUSD BE'!$L$20+'TUSD BF'!$L$20+'TUSD CVA'!$L$20)*1</f>
        <v>0</v>
      </c>
      <c r="M20" s="13">
        <f>('TUSD BE'!$M$20+'TUSD BF'!$M$20+'TUSD CVA'!$M$20)*1</f>
        <v>2.6037935141612643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91.797786245761316</v>
      </c>
      <c r="R20" s="13">
        <f>('TUSD BE'!$R$20+'TUSD BF'!$R$20+'TUSD CVA'!$R$20)*1</f>
        <v>14.499870257332329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127.15121676492161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253.19905098096984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30.008720050328957</v>
      </c>
      <c r="AE20" s="13">
        <f>('TUSD BE'!$AI$20+'TUSD BF'!$AI$20+'TUSD CVA'!$AI$20)*1</f>
        <v>0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2.2477362080307799</v>
      </c>
      <c r="AK20" s="13">
        <v>0</v>
      </c>
      <c r="AL20" s="13">
        <v>0</v>
      </c>
      <c r="AM20" s="13">
        <v>0</v>
      </c>
      <c r="AN20" s="13">
        <v>58.489199539840399</v>
      </c>
      <c r="AO20" s="13">
        <v>9.1186283768067309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118.333810554232</v>
      </c>
      <c r="AV20" s="13">
        <v>0</v>
      </c>
      <c r="AW20" s="13">
        <v>0</v>
      </c>
      <c r="AX20" s="13">
        <v>221.120629267895</v>
      </c>
      <c r="AY20" s="13">
        <v>0</v>
      </c>
      <c r="AZ20" s="13">
        <v>0</v>
      </c>
      <c r="BA20" s="13">
        <v>33.6504990557426</v>
      </c>
      <c r="BB20" s="13">
        <v>0</v>
      </c>
      <c r="BC20" s="13">
        <v>0</v>
      </c>
      <c r="BD20" s="13">
        <v>0</v>
      </c>
    </row>
    <row r="21" spans="1:56" ht="11.25" customHeight="1" x14ac:dyDescent="0.3">
      <c r="A21" s="95"/>
      <c r="B21" s="95"/>
      <c r="C21" s="95"/>
      <c r="D21" s="17" t="s">
        <v>29</v>
      </c>
      <c r="E21" s="17" t="s">
        <v>25</v>
      </c>
      <c r="F21" s="17" t="s">
        <v>25</v>
      </c>
      <c r="G21" s="18" t="s">
        <v>74</v>
      </c>
      <c r="H21" s="18" t="s">
        <v>70</v>
      </c>
      <c r="I21" s="18">
        <f>'MERCADO TUSD'!$U$18</f>
        <v>86.132999999999996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0.9113277299564424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44.50292586772256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88.619667843339442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10.503052017615135</v>
      </c>
      <c r="AE21" s="13">
        <f>('TUSD BE'!$AI$21+'TUSD BF'!$AI$21+'TUSD CVA'!$AI$21)*(1 - 0.65)</f>
        <v>0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0.78670767281077403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41.416833693981303</v>
      </c>
      <c r="AV21" s="13">
        <v>0</v>
      </c>
      <c r="AW21" s="13">
        <v>0</v>
      </c>
      <c r="AX21" s="13">
        <v>77.392220243763305</v>
      </c>
      <c r="AY21" s="13">
        <v>0</v>
      </c>
      <c r="AZ21" s="13">
        <v>0</v>
      </c>
      <c r="BA21" s="13">
        <v>11.777674669509899</v>
      </c>
      <c r="BB21" s="13">
        <v>0</v>
      </c>
      <c r="BC21" s="13">
        <v>0</v>
      </c>
      <c r="BD21" s="13">
        <v>0</v>
      </c>
    </row>
    <row r="22" spans="1:56" ht="11.25" customHeight="1" x14ac:dyDescent="0.3">
      <c r="A22" s="95"/>
      <c r="B22" s="95"/>
      <c r="C22" s="95"/>
      <c r="D22" s="17" t="s">
        <v>30</v>
      </c>
      <c r="E22" s="17" t="s">
        <v>25</v>
      </c>
      <c r="F22" s="17" t="s">
        <v>25</v>
      </c>
      <c r="G22" s="18" t="s">
        <v>74</v>
      </c>
      <c r="H22" s="18" t="s">
        <v>70</v>
      </c>
      <c r="I22" s="18">
        <f>'MERCADO TUSD'!$U$19</f>
        <v>172.315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1.5622761084967585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76.29073005895296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151.91943058858189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18.005232030197373</v>
      </c>
      <c r="AE22" s="13">
        <f>('TUSD BE'!$AI$22+'TUSD BF'!$AI$22+'TUSD CVA'!$AI$22)*(1 - 0.4)</f>
        <v>0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1.3486417248184699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71.000286332539304</v>
      </c>
      <c r="AV22" s="13">
        <v>0</v>
      </c>
      <c r="AW22" s="13">
        <v>0</v>
      </c>
      <c r="AX22" s="13">
        <v>132.672377560737</v>
      </c>
      <c r="AY22" s="13">
        <v>0</v>
      </c>
      <c r="AZ22" s="13">
        <v>0</v>
      </c>
      <c r="BA22" s="13">
        <v>20.190299433445499</v>
      </c>
      <c r="BB22" s="13">
        <v>0</v>
      </c>
      <c r="BC22" s="13">
        <v>0</v>
      </c>
      <c r="BD22" s="13">
        <v>0</v>
      </c>
    </row>
    <row r="23" spans="1:56" ht="11.25" customHeight="1" x14ac:dyDescent="0.3">
      <c r="A23" s="95"/>
      <c r="B23" s="95"/>
      <c r="C23" s="95"/>
      <c r="D23" s="17" t="s">
        <v>31</v>
      </c>
      <c r="E23" s="17" t="s">
        <v>25</v>
      </c>
      <c r="F23" s="17" t="s">
        <v>25</v>
      </c>
      <c r="G23" s="18" t="s">
        <v>74</v>
      </c>
      <c r="H23" s="18" t="s">
        <v>70</v>
      </c>
      <c r="I23" s="18">
        <f>'MERCADO TUSD'!$U$20</f>
        <v>174.131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2.3434141627451379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114.43609508842945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227.87914588287288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27.007848045296061</v>
      </c>
      <c r="AE23" s="13">
        <f>('TUSD BE'!$AI$23+'TUSD BF'!$AI$23+'TUSD CVA'!$AI$23)*(1 - 0.1)</f>
        <v>0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2.0229625872276999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106.500429498809</v>
      </c>
      <c r="AV23" s="13">
        <v>0</v>
      </c>
      <c r="AW23" s="13">
        <v>0</v>
      </c>
      <c r="AX23" s="13">
        <v>199.00856634110599</v>
      </c>
      <c r="AY23" s="13">
        <v>0</v>
      </c>
      <c r="AZ23" s="13">
        <v>0</v>
      </c>
      <c r="BA23" s="13">
        <v>30.285449150168301</v>
      </c>
      <c r="BB23" s="13">
        <v>0</v>
      </c>
      <c r="BC23" s="13">
        <v>0</v>
      </c>
      <c r="BD23" s="13">
        <v>0</v>
      </c>
    </row>
    <row r="24" spans="1:56" ht="11.25" customHeight="1" x14ac:dyDescent="0.3">
      <c r="A24" s="95"/>
      <c r="B24" s="95"/>
      <c r="C24" s="95"/>
      <c r="D24" s="17" t="s">
        <v>32</v>
      </c>
      <c r="E24" s="17" t="s">
        <v>25</v>
      </c>
      <c r="F24" s="17" t="s">
        <v>25</v>
      </c>
      <c r="G24" s="18" t="s">
        <v>74</v>
      </c>
      <c r="H24" s="18" t="s">
        <v>70</v>
      </c>
      <c r="I24" s="18">
        <f>'MERCADO TUSD'!$U$21</f>
        <v>71.680000000000007</v>
      </c>
      <c r="J24" s="15"/>
      <c r="L24" s="13">
        <f>('TUSD BE'!$L$24+'TUSD BF'!$L$24+'TUSD CVA'!$L$24)*1</f>
        <v>0</v>
      </c>
      <c r="M24" s="13">
        <f>('TUSD BE'!$M$24+'TUSD BF'!$M$24+'TUSD CVA'!$M$24)*1</f>
        <v>2.6037935141612643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127.15121676492161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253.19905098096984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30.008720050328957</v>
      </c>
      <c r="AE24" s="13">
        <f>('TUSD BE'!$AI$24+'TUSD BF'!$AI$24+'TUSD CVA'!$AI$24)*1</f>
        <v>0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2.2477362080307799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118.333810554232</v>
      </c>
      <c r="AV24" s="13">
        <v>0</v>
      </c>
      <c r="AW24" s="13">
        <v>0</v>
      </c>
      <c r="AX24" s="13">
        <v>221.120629267895</v>
      </c>
      <c r="AY24" s="13">
        <v>0</v>
      </c>
      <c r="AZ24" s="13">
        <v>0</v>
      </c>
      <c r="BA24" s="13">
        <v>33.6504990557426</v>
      </c>
      <c r="BB24" s="13">
        <v>0</v>
      </c>
      <c r="BC24" s="13">
        <v>0</v>
      </c>
      <c r="BD24" s="13">
        <v>0</v>
      </c>
    </row>
    <row r="25" spans="1:56" ht="11.25" customHeight="1" x14ac:dyDescent="0.3">
      <c r="A25" s="95"/>
      <c r="B25" s="95" t="s">
        <v>85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74</v>
      </c>
      <c r="H25" s="18" t="s">
        <v>70</v>
      </c>
      <c r="I25" s="18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2.6037935141612643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91.797786245761316</v>
      </c>
      <c r="R25" s="13">
        <f>('TUSD BE'!$R$25+'TUSD BF'!$R$25+'TUSD CVA'!$R$25)*1</f>
        <v>14.499870257332329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127.15121676492161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253.19905098096984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30.008720050328957</v>
      </c>
      <c r="AE25" s="13">
        <f>('TUSD BE'!$AI$25+'TUSD BF'!$AI$25+'TUSD CVA'!$AI$25)*1</f>
        <v>0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2.2477362080307799</v>
      </c>
      <c r="AK25" s="13">
        <v>0</v>
      </c>
      <c r="AL25" s="13">
        <v>0</v>
      </c>
      <c r="AM25" s="13">
        <v>0</v>
      </c>
      <c r="AN25" s="13">
        <v>58.489199539840399</v>
      </c>
      <c r="AO25" s="13">
        <v>9.1186283768067309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118.333810554232</v>
      </c>
      <c r="AV25" s="13">
        <v>0</v>
      </c>
      <c r="AW25" s="13">
        <v>0</v>
      </c>
      <c r="AX25" s="13">
        <v>221.120629267895</v>
      </c>
      <c r="AY25" s="13">
        <v>0</v>
      </c>
      <c r="AZ25" s="13">
        <v>0</v>
      </c>
      <c r="BA25" s="13">
        <v>33.6504990557426</v>
      </c>
      <c r="BB25" s="13">
        <v>0</v>
      </c>
      <c r="BC25" s="13">
        <v>0</v>
      </c>
      <c r="BD25" s="13">
        <v>0</v>
      </c>
    </row>
    <row r="26" spans="1:56" ht="11.25" customHeight="1" x14ac:dyDescent="0.3">
      <c r="A26" s="95"/>
      <c r="B26" s="95"/>
      <c r="C26" s="95"/>
      <c r="D26" s="17" t="s">
        <v>29</v>
      </c>
      <c r="E26" s="17" t="s">
        <v>25</v>
      </c>
      <c r="F26" s="17" t="s">
        <v>25</v>
      </c>
      <c r="G26" s="18" t="s">
        <v>74</v>
      </c>
      <c r="H26" s="18" t="s">
        <v>70</v>
      </c>
      <c r="I26" s="18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0.9113277299564424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44.50292586772256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88.619667843339442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10.503052017615135</v>
      </c>
      <c r="AE26" s="13">
        <f>('TUSD BE'!$AI$26+'TUSD BF'!$AI$26+'TUSD CVA'!$AI$26)*(1 - 0.65)</f>
        <v>0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0.78670767281077403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41.416833693981303</v>
      </c>
      <c r="AV26" s="13">
        <v>0</v>
      </c>
      <c r="AW26" s="13">
        <v>0</v>
      </c>
      <c r="AX26" s="13">
        <v>77.392220243763305</v>
      </c>
      <c r="AY26" s="13">
        <v>0</v>
      </c>
      <c r="AZ26" s="13">
        <v>0</v>
      </c>
      <c r="BA26" s="13">
        <v>11.777674669509899</v>
      </c>
      <c r="BB26" s="13">
        <v>0</v>
      </c>
      <c r="BC26" s="13">
        <v>0</v>
      </c>
      <c r="BD26" s="13">
        <v>0</v>
      </c>
    </row>
    <row r="27" spans="1:56" ht="11.25" customHeight="1" x14ac:dyDescent="0.3">
      <c r="A27" s="95"/>
      <c r="B27" s="95"/>
      <c r="C27" s="95"/>
      <c r="D27" s="17" t="s">
        <v>30</v>
      </c>
      <c r="E27" s="17" t="s">
        <v>25</v>
      </c>
      <c r="F27" s="17" t="s">
        <v>25</v>
      </c>
      <c r="G27" s="18" t="s">
        <v>74</v>
      </c>
      <c r="H27" s="18" t="s">
        <v>70</v>
      </c>
      <c r="I27" s="18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1.5622761084967585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76.29073005895296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151.91943058858189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18.005232030197373</v>
      </c>
      <c r="AE27" s="13">
        <f>('TUSD BE'!$AI$27+'TUSD BF'!$AI$27+'TUSD CVA'!$AI$27)*(1 - 0.4)</f>
        <v>0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1.3486417248184699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71.000286332539304</v>
      </c>
      <c r="AV27" s="13">
        <v>0</v>
      </c>
      <c r="AW27" s="13">
        <v>0</v>
      </c>
      <c r="AX27" s="13">
        <v>132.672377560737</v>
      </c>
      <c r="AY27" s="13">
        <v>0</v>
      </c>
      <c r="AZ27" s="13">
        <v>0</v>
      </c>
      <c r="BA27" s="13">
        <v>20.190299433445499</v>
      </c>
      <c r="BB27" s="13">
        <v>0</v>
      </c>
      <c r="BC27" s="13">
        <v>0</v>
      </c>
      <c r="BD27" s="13">
        <v>0</v>
      </c>
    </row>
    <row r="28" spans="1:56" ht="11.25" customHeight="1" x14ac:dyDescent="0.3">
      <c r="A28" s="95"/>
      <c r="B28" s="95"/>
      <c r="C28" s="95"/>
      <c r="D28" s="17" t="s">
        <v>31</v>
      </c>
      <c r="E28" s="17" t="s">
        <v>25</v>
      </c>
      <c r="F28" s="17" t="s">
        <v>25</v>
      </c>
      <c r="G28" s="18" t="s">
        <v>74</v>
      </c>
      <c r="H28" s="18" t="s">
        <v>70</v>
      </c>
      <c r="I28" s="18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2.3434141627451379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114.43609508842945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227.87914588287288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27.007848045296061</v>
      </c>
      <c r="AE28" s="13">
        <f>('TUSD BE'!$AI$28+'TUSD BF'!$AI$28+'TUSD CVA'!$AI$28)*(1 - 0.1)</f>
        <v>0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2.0229625872276999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106.500429498809</v>
      </c>
      <c r="AV28" s="13">
        <v>0</v>
      </c>
      <c r="AW28" s="13">
        <v>0</v>
      </c>
      <c r="AX28" s="13">
        <v>199.00856634110599</v>
      </c>
      <c r="AY28" s="13">
        <v>0</v>
      </c>
      <c r="AZ28" s="13">
        <v>0</v>
      </c>
      <c r="BA28" s="13">
        <v>30.285449150168301</v>
      </c>
      <c r="BB28" s="13">
        <v>0</v>
      </c>
      <c r="BC28" s="13">
        <v>0</v>
      </c>
      <c r="BD28" s="13">
        <v>0</v>
      </c>
    </row>
    <row r="29" spans="1:56" ht="11.25" customHeight="1" x14ac:dyDescent="0.3">
      <c r="A29" s="95"/>
      <c r="B29" s="95"/>
      <c r="C29" s="95"/>
      <c r="D29" s="17" t="s">
        <v>32</v>
      </c>
      <c r="E29" s="17" t="s">
        <v>25</v>
      </c>
      <c r="F29" s="17" t="s">
        <v>25</v>
      </c>
      <c r="G29" s="18" t="s">
        <v>74</v>
      </c>
      <c r="H29" s="18" t="s">
        <v>70</v>
      </c>
      <c r="I29" s="18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2.6037935141612643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127.15121676492161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253.19905098096984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30.008720050328957</v>
      </c>
      <c r="AE29" s="13">
        <f>('TUSD BE'!$AI$29+'TUSD BF'!$AI$29+'TUSD CVA'!$AI$29)*1</f>
        <v>0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2.2477362080307799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118.333810554232</v>
      </c>
      <c r="AV29" s="13">
        <v>0</v>
      </c>
      <c r="AW29" s="13">
        <v>0</v>
      </c>
      <c r="AX29" s="13">
        <v>221.120629267895</v>
      </c>
      <c r="AY29" s="13">
        <v>0</v>
      </c>
      <c r="AZ29" s="13">
        <v>0</v>
      </c>
      <c r="BA29" s="13">
        <v>33.6504990557426</v>
      </c>
      <c r="BB29" s="13">
        <v>0</v>
      </c>
      <c r="BC29" s="13">
        <v>0</v>
      </c>
      <c r="BD29" s="13">
        <v>0</v>
      </c>
    </row>
    <row r="30" spans="1:56" ht="11.25" customHeight="1" x14ac:dyDescent="0.3">
      <c r="A30" s="95" t="s">
        <v>43</v>
      </c>
      <c r="B30" s="95" t="s">
        <v>33</v>
      </c>
      <c r="C30" s="95" t="s">
        <v>44</v>
      </c>
      <c r="D30" s="95" t="s">
        <v>25</v>
      </c>
      <c r="E30" s="95" t="s">
        <v>25</v>
      </c>
      <c r="F30" s="95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2.4475659033115882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86.289919071015632</v>
      </c>
      <c r="R30" s="13">
        <f>('TUSD BE'!$R$30+'TUSD BF'!$R$30+'TUSD CVA'!$R$30)*(1 - CUSTOS!$M$38)</f>
        <v>13.629878041892388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352.60516672447068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702.12084273427217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28.208196847309218</v>
      </c>
      <c r="AE30" s="13">
        <f>('TUSD BE'!$AI$30+'TUSD BF'!$AI$30+'TUSD CVA'!$AI$30)*(1 - CUSTOS!$M$38)</f>
        <v>0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1.9780078630670901</v>
      </c>
      <c r="AK30" s="13">
        <v>0</v>
      </c>
      <c r="AL30" s="13">
        <v>0</v>
      </c>
      <c r="AM30" s="13">
        <v>0</v>
      </c>
      <c r="AN30" s="13">
        <v>51.470495595059496</v>
      </c>
      <c r="AO30" s="13">
        <v>8.0243929715899291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307.20751896621903</v>
      </c>
      <c r="AV30" s="13">
        <v>0</v>
      </c>
      <c r="AW30" s="13">
        <v>0</v>
      </c>
      <c r="AX30" s="13">
        <v>574.02906417539396</v>
      </c>
      <c r="AY30" s="13">
        <v>0</v>
      </c>
      <c r="AZ30" s="13">
        <v>0</v>
      </c>
      <c r="BA30" s="13">
        <v>29.612439169053498</v>
      </c>
      <c r="BB30" s="13">
        <v>0</v>
      </c>
      <c r="BC30" s="13">
        <v>0</v>
      </c>
      <c r="BD30" s="13">
        <v>0</v>
      </c>
    </row>
    <row r="31" spans="1:56" ht="11.25" customHeight="1" x14ac:dyDescent="0.3">
      <c r="A31" s="95"/>
      <c r="B31" s="95"/>
      <c r="C31" s="95"/>
      <c r="D31" s="95"/>
      <c r="E31" s="95"/>
      <c r="F31" s="95"/>
      <c r="G31" s="18" t="s">
        <v>83</v>
      </c>
      <c r="H31" s="18" t="s">
        <v>70</v>
      </c>
      <c r="I31" s="18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2.4475659033115882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86.289919071015632</v>
      </c>
      <c r="R31" s="13">
        <f>('TUSD BE'!$R$31+'TUSD BF'!$R$31+'TUSD CVA'!$R$31)*(1 - CUSTOS!$M$38)</f>
        <v>13.629878041892388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211.53951322090273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421.27240026847016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28.208196847309218</v>
      </c>
      <c r="AE31" s="13">
        <f>('TUSD BE'!$AI$31+'TUSD BF'!$AI$31+'TUSD CVA'!$AI$31)*(1 - CUSTOS!$M$38)</f>
        <v>0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1.9780078630670901</v>
      </c>
      <c r="AK31" s="13">
        <v>0</v>
      </c>
      <c r="AL31" s="13">
        <v>0</v>
      </c>
      <c r="AM31" s="13">
        <v>0</v>
      </c>
      <c r="AN31" s="13">
        <v>51.470495595059496</v>
      </c>
      <c r="AO31" s="13">
        <v>8.0243929715899291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184.30391170529899</v>
      </c>
      <c r="AV31" s="13">
        <v>0</v>
      </c>
      <c r="AW31" s="13">
        <v>0</v>
      </c>
      <c r="AX31" s="13">
        <v>344.417341650835</v>
      </c>
      <c r="AY31" s="13">
        <v>0</v>
      </c>
      <c r="AZ31" s="13">
        <v>0</v>
      </c>
      <c r="BA31" s="13">
        <v>29.612439169053498</v>
      </c>
      <c r="BB31" s="13">
        <v>0</v>
      </c>
      <c r="BC31" s="13">
        <v>0</v>
      </c>
      <c r="BD31" s="13">
        <v>0</v>
      </c>
    </row>
    <row r="32" spans="1:56" ht="11.25" customHeight="1" x14ac:dyDescent="0.3">
      <c r="A32" s="95"/>
      <c r="B32" s="95"/>
      <c r="C32" s="95"/>
      <c r="D32" s="95"/>
      <c r="E32" s="95"/>
      <c r="F32" s="95"/>
      <c r="G32" s="18" t="s">
        <v>72</v>
      </c>
      <c r="H32" s="18" t="s">
        <v>70</v>
      </c>
      <c r="I32" s="18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2.4475659033115882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86.289919071015632</v>
      </c>
      <c r="R32" s="13">
        <f>('TUSD BE'!$R$32+'TUSD BF'!$R$32+'TUSD CVA'!$R$32)*(1 - CUSTOS!$M$38)</f>
        <v>13.629878041892388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70.473859717334875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140.42411991358065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28.208196847309218</v>
      </c>
      <c r="AE32" s="13">
        <f>('TUSD BE'!$AI$32+'TUSD BF'!$AI$32+'TUSD CVA'!$AI$32)*(1 - CUSTOS!$M$38)</f>
        <v>0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1.9780078630670901</v>
      </c>
      <c r="AK32" s="13">
        <v>0</v>
      </c>
      <c r="AL32" s="13">
        <v>0</v>
      </c>
      <c r="AM32" s="13">
        <v>0</v>
      </c>
      <c r="AN32" s="13">
        <v>51.470495595059496</v>
      </c>
      <c r="AO32" s="13">
        <v>8.0243929715899291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61.400384412058699</v>
      </c>
      <c r="AV32" s="13">
        <v>0</v>
      </c>
      <c r="AW32" s="13">
        <v>0</v>
      </c>
      <c r="AX32" s="13">
        <v>114.80576813304801</v>
      </c>
      <c r="AY32" s="13">
        <v>0</v>
      </c>
      <c r="AZ32" s="13">
        <v>0</v>
      </c>
      <c r="BA32" s="13">
        <v>29.612439169053498</v>
      </c>
      <c r="BB32" s="13">
        <v>0</v>
      </c>
      <c r="BC32" s="13">
        <v>0</v>
      </c>
      <c r="BD32" s="13">
        <v>0</v>
      </c>
    </row>
    <row r="33" spans="1:56" ht="11.25" customHeight="1" x14ac:dyDescent="0.3">
      <c r="A33" s="95"/>
      <c r="B33" s="17" t="s">
        <v>23</v>
      </c>
      <c r="C33" s="17" t="s">
        <v>44</v>
      </c>
      <c r="D33" s="17" t="s">
        <v>25</v>
      </c>
      <c r="E33" s="17" t="s">
        <v>25</v>
      </c>
      <c r="F33" s="17" t="s">
        <v>25</v>
      </c>
      <c r="G33" s="18" t="s">
        <v>74</v>
      </c>
      <c r="H33" s="18" t="s">
        <v>70</v>
      </c>
      <c r="I33" s="18">
        <f>'MERCADO TUSD'!$U$30</f>
        <v>19400.674999999996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2.4475659033115882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86.289919071015632</v>
      </c>
      <c r="R33" s="13">
        <f>('TUSD BE'!$R$33+'TUSD BF'!$R$33+'TUSD CVA'!$R$33)*(1 - CUSTOS!$M$38)</f>
        <v>13.629878041892388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119.52214375902631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238.00710792211163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28.208196847309218</v>
      </c>
      <c r="AE33" s="13">
        <f>('TUSD BE'!$AI$33+'TUSD BF'!$AI$33+'TUSD CVA'!$AI$33)*(1 - CUSTOS!$M$38)</f>
        <v>0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1.9780078630670901</v>
      </c>
      <c r="AK33" s="13">
        <v>0</v>
      </c>
      <c r="AL33" s="13">
        <v>0</v>
      </c>
      <c r="AM33" s="13">
        <v>0</v>
      </c>
      <c r="AN33" s="13">
        <v>51.470495595059496</v>
      </c>
      <c r="AO33" s="13">
        <v>8.0243929715899291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104.13375328772401</v>
      </c>
      <c r="AV33" s="13">
        <v>0</v>
      </c>
      <c r="AW33" s="13">
        <v>0</v>
      </c>
      <c r="AX33" s="13">
        <v>194.586153755748</v>
      </c>
      <c r="AY33" s="13">
        <v>0</v>
      </c>
      <c r="AZ33" s="13">
        <v>0</v>
      </c>
      <c r="BA33" s="13">
        <v>29.612439169053498</v>
      </c>
      <c r="BB33" s="13">
        <v>0</v>
      </c>
      <c r="BC33" s="13">
        <v>0</v>
      </c>
      <c r="BD33" s="13">
        <v>0</v>
      </c>
    </row>
    <row r="34" spans="1:56" ht="11.25" customHeight="1" x14ac:dyDescent="0.3">
      <c r="A34" s="95"/>
      <c r="B34" s="95" t="s">
        <v>33</v>
      </c>
      <c r="C34" s="95" t="s">
        <v>44</v>
      </c>
      <c r="D34" s="95" t="s">
        <v>86</v>
      </c>
      <c r="E34" s="95" t="s">
        <v>25</v>
      </c>
      <c r="F34" s="95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2.4475659033115882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86.289919071015632</v>
      </c>
      <c r="R34" s="13">
        <f>('TUSD BE'!$R$34+'TUSD BF'!$R$34+'TUSD CVA'!$R$34)*(1 - CUSTOS!$M$39)</f>
        <v>13.629878041892388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352.60516672447068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702.12084273427217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28.208196847309218</v>
      </c>
      <c r="AE34" s="13">
        <f>('TUSD BE'!$AI$34+'TUSD BF'!$AI$34+'TUSD CVA'!$AI$34)*(1 - CUSTOS!$M$39)</f>
        <v>0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1.9780078630670901</v>
      </c>
      <c r="AK34" s="13">
        <v>0</v>
      </c>
      <c r="AL34" s="13">
        <v>0</v>
      </c>
      <c r="AM34" s="13">
        <v>0</v>
      </c>
      <c r="AN34" s="13">
        <v>51.470495595059496</v>
      </c>
      <c r="AO34" s="13">
        <v>8.0243929715899291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307.20751896621903</v>
      </c>
      <c r="AV34" s="13">
        <v>0</v>
      </c>
      <c r="AW34" s="13">
        <v>0</v>
      </c>
      <c r="AX34" s="13">
        <v>574.02906417539396</v>
      </c>
      <c r="AY34" s="13">
        <v>0</v>
      </c>
      <c r="AZ34" s="13">
        <v>0</v>
      </c>
      <c r="BA34" s="13">
        <v>29.612439169053498</v>
      </c>
      <c r="BB34" s="13">
        <v>0</v>
      </c>
      <c r="BC34" s="13">
        <v>0</v>
      </c>
      <c r="BD34" s="13">
        <v>0</v>
      </c>
    </row>
    <row r="35" spans="1:56" ht="11.25" customHeight="1" x14ac:dyDescent="0.3">
      <c r="A35" s="95"/>
      <c r="B35" s="95"/>
      <c r="C35" s="95"/>
      <c r="D35" s="95"/>
      <c r="E35" s="95"/>
      <c r="F35" s="95"/>
      <c r="G35" s="18" t="s">
        <v>83</v>
      </c>
      <c r="H35" s="18" t="s">
        <v>70</v>
      </c>
      <c r="I35" s="18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2.4475659033115882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86.289919071015632</v>
      </c>
      <c r="R35" s="13">
        <f>('TUSD BE'!$R$35+'TUSD BF'!$R$35+'TUSD CVA'!$R$35)*(1 - CUSTOS!$M$39)</f>
        <v>13.629878041892388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211.53951322090273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421.27240026847016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28.208196847309218</v>
      </c>
      <c r="AE35" s="13">
        <f>('TUSD BE'!$AI$35+'TUSD BF'!$AI$35+'TUSD CVA'!$AI$35)*(1 - CUSTOS!$M$39)</f>
        <v>0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1.9780078630670901</v>
      </c>
      <c r="AK35" s="13">
        <v>0</v>
      </c>
      <c r="AL35" s="13">
        <v>0</v>
      </c>
      <c r="AM35" s="13">
        <v>0</v>
      </c>
      <c r="AN35" s="13">
        <v>51.470495595059496</v>
      </c>
      <c r="AO35" s="13">
        <v>8.0243929715899291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184.30391170529899</v>
      </c>
      <c r="AV35" s="13">
        <v>0</v>
      </c>
      <c r="AW35" s="13">
        <v>0</v>
      </c>
      <c r="AX35" s="13">
        <v>344.417341650835</v>
      </c>
      <c r="AY35" s="13">
        <v>0</v>
      </c>
      <c r="AZ35" s="13">
        <v>0</v>
      </c>
      <c r="BA35" s="13">
        <v>29.612439169053498</v>
      </c>
      <c r="BB35" s="13">
        <v>0</v>
      </c>
      <c r="BC35" s="13">
        <v>0</v>
      </c>
      <c r="BD35" s="13">
        <v>0</v>
      </c>
    </row>
    <row r="36" spans="1:56" ht="11.25" customHeight="1" x14ac:dyDescent="0.3">
      <c r="A36" s="95"/>
      <c r="B36" s="95"/>
      <c r="C36" s="95"/>
      <c r="D36" s="95"/>
      <c r="E36" s="95"/>
      <c r="F36" s="95"/>
      <c r="G36" s="18" t="s">
        <v>72</v>
      </c>
      <c r="H36" s="18" t="s">
        <v>70</v>
      </c>
      <c r="I36" s="18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2.4475659033115882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86.289919071015632</v>
      </c>
      <c r="R36" s="13">
        <f>('TUSD BE'!$R$36+'TUSD BF'!$R$36+'TUSD CVA'!$R$36)*(1 - CUSTOS!$M$39)</f>
        <v>13.629878041892388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70.473859717334875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140.42411991358065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28.208196847309218</v>
      </c>
      <c r="AE36" s="13">
        <f>('TUSD BE'!$AI$36+'TUSD BF'!$AI$36+'TUSD CVA'!$AI$36)*(1 - CUSTOS!$M$39)</f>
        <v>0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1.9780078630670901</v>
      </c>
      <c r="AK36" s="13">
        <v>0</v>
      </c>
      <c r="AL36" s="13">
        <v>0</v>
      </c>
      <c r="AM36" s="13">
        <v>0</v>
      </c>
      <c r="AN36" s="13">
        <v>51.470495595059496</v>
      </c>
      <c r="AO36" s="13">
        <v>8.0243929715899291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61.400384412058699</v>
      </c>
      <c r="AV36" s="13">
        <v>0</v>
      </c>
      <c r="AW36" s="13">
        <v>0</v>
      </c>
      <c r="AX36" s="13">
        <v>114.80576813304801</v>
      </c>
      <c r="AY36" s="13">
        <v>0</v>
      </c>
      <c r="AZ36" s="13">
        <v>0</v>
      </c>
      <c r="BA36" s="13">
        <v>29.612439169053498</v>
      </c>
      <c r="BB36" s="13">
        <v>0</v>
      </c>
      <c r="BC36" s="13">
        <v>0</v>
      </c>
      <c r="BD36" s="13">
        <v>0</v>
      </c>
    </row>
    <row r="37" spans="1:56" ht="11.25" customHeight="1" x14ac:dyDescent="0.3">
      <c r="A37" s="95"/>
      <c r="B37" s="17" t="s">
        <v>23</v>
      </c>
      <c r="C37" s="17" t="s">
        <v>44</v>
      </c>
      <c r="D37" s="17" t="s">
        <v>86</v>
      </c>
      <c r="E37" s="17" t="s">
        <v>25</v>
      </c>
      <c r="F37" s="17" t="s">
        <v>25</v>
      </c>
      <c r="G37" s="18" t="s">
        <v>74</v>
      </c>
      <c r="H37" s="18" t="s">
        <v>70</v>
      </c>
      <c r="I37" s="18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2.4475659033115882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86.289919071015632</v>
      </c>
      <c r="R37" s="13">
        <f>('TUSD BE'!$R$37+'TUSD BF'!$R$37+'TUSD CVA'!$R$37)*(1 - CUSTOS!$M$39)</f>
        <v>13.629878041892388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119.52214375902631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238.00710792211163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28.208196847309218</v>
      </c>
      <c r="AE37" s="13">
        <f>('TUSD BE'!$AI$37+'TUSD BF'!$AI$37+'TUSD CVA'!$AI$37)*(1 - CUSTOS!$M$39)</f>
        <v>0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1.9780078630670901</v>
      </c>
      <c r="AK37" s="13">
        <v>0</v>
      </c>
      <c r="AL37" s="13">
        <v>0</v>
      </c>
      <c r="AM37" s="13">
        <v>0</v>
      </c>
      <c r="AN37" s="13">
        <v>51.470495595059496</v>
      </c>
      <c r="AO37" s="13">
        <v>8.0243929715899291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104.13375328772401</v>
      </c>
      <c r="AV37" s="13">
        <v>0</v>
      </c>
      <c r="AW37" s="13">
        <v>0</v>
      </c>
      <c r="AX37" s="13">
        <v>194.586153755748</v>
      </c>
      <c r="AY37" s="13">
        <v>0</v>
      </c>
      <c r="AZ37" s="13">
        <v>0</v>
      </c>
      <c r="BA37" s="13">
        <v>29.612439169053498</v>
      </c>
      <c r="BB37" s="13">
        <v>0</v>
      </c>
      <c r="BC37" s="13">
        <v>0</v>
      </c>
      <c r="BD37" s="13">
        <v>0</v>
      </c>
    </row>
    <row r="38" spans="1:56" ht="11.25" customHeight="1" x14ac:dyDescent="0.3">
      <c r="A38" s="95"/>
      <c r="B38" s="95" t="s">
        <v>33</v>
      </c>
      <c r="C38" s="95" t="s">
        <v>44</v>
      </c>
      <c r="D38" s="95" t="s">
        <v>87</v>
      </c>
      <c r="E38" s="95" t="s">
        <v>25</v>
      </c>
      <c r="F38" s="95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2.3954900330283633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84.453963346100409</v>
      </c>
      <c r="R38" s="13">
        <f>('TUSD BE'!$R$38+'TUSD BF'!$R$38+'TUSD CVA'!$R$38)*(1 - CUSTOS!$M$40)</f>
        <v>13.339880636745743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345.10292913458835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687.18210139950043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27.608022446302641</v>
      </c>
      <c r="AE38" s="13">
        <f>('TUSD BE'!$AI$38+'TUSD BF'!$AI$38+'TUSD CVA'!$AI$38)*(1 - CUSTOS!$M$40)</f>
        <v>0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1.8880984147458599</v>
      </c>
      <c r="AK38" s="13">
        <v>0</v>
      </c>
      <c r="AL38" s="13">
        <v>0</v>
      </c>
      <c r="AM38" s="13">
        <v>0</v>
      </c>
      <c r="AN38" s="13">
        <v>49.1309276134659</v>
      </c>
      <c r="AO38" s="13">
        <v>7.6596478365176601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293.24354083139099</v>
      </c>
      <c r="AV38" s="13">
        <v>0</v>
      </c>
      <c r="AW38" s="13">
        <v>0</v>
      </c>
      <c r="AX38" s="13">
        <v>547.93683398560302</v>
      </c>
      <c r="AY38" s="13">
        <v>0</v>
      </c>
      <c r="AZ38" s="13">
        <v>0</v>
      </c>
      <c r="BA38" s="13">
        <v>28.266419206823802</v>
      </c>
      <c r="BB38" s="13">
        <v>0</v>
      </c>
      <c r="BC38" s="13">
        <v>0</v>
      </c>
      <c r="BD38" s="13">
        <v>0</v>
      </c>
    </row>
    <row r="39" spans="1:56" ht="11.25" customHeight="1" x14ac:dyDescent="0.3">
      <c r="A39" s="95"/>
      <c r="B39" s="95"/>
      <c r="C39" s="95"/>
      <c r="D39" s="95"/>
      <c r="E39" s="95"/>
      <c r="F39" s="95"/>
      <c r="G39" s="18" t="s">
        <v>83</v>
      </c>
      <c r="H39" s="18" t="s">
        <v>70</v>
      </c>
      <c r="I39" s="18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2.3954900330283633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84.453963346100409</v>
      </c>
      <c r="R39" s="13">
        <f>('TUSD BE'!$R$39+'TUSD BF'!$R$39+'TUSD CVA'!$R$39)*(1 - CUSTOS!$M$40)</f>
        <v>13.339880636745743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207.03867251407505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412.30915770956659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27.608022446302641</v>
      </c>
      <c r="AE39" s="13">
        <f>('TUSD BE'!$AI$39+'TUSD BF'!$AI$39+'TUSD CVA'!$AI$39)*(1 - CUSTOS!$M$40)</f>
        <v>0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1.8880984147458599</v>
      </c>
      <c r="AK39" s="13">
        <v>0</v>
      </c>
      <c r="AL39" s="13">
        <v>0</v>
      </c>
      <c r="AM39" s="13">
        <v>0</v>
      </c>
      <c r="AN39" s="13">
        <v>49.1309276134659</v>
      </c>
      <c r="AO39" s="13">
        <v>7.6596478365176601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175.92646117324</v>
      </c>
      <c r="AV39" s="13">
        <v>0</v>
      </c>
      <c r="AW39" s="13">
        <v>0</v>
      </c>
      <c r="AX39" s="13">
        <v>328.762007939434</v>
      </c>
      <c r="AY39" s="13">
        <v>0</v>
      </c>
      <c r="AZ39" s="13">
        <v>0</v>
      </c>
      <c r="BA39" s="13">
        <v>28.266419206823802</v>
      </c>
      <c r="BB39" s="13">
        <v>0</v>
      </c>
      <c r="BC39" s="13">
        <v>0</v>
      </c>
      <c r="BD39" s="13">
        <v>0</v>
      </c>
    </row>
    <row r="40" spans="1:56" ht="11.25" customHeight="1" x14ac:dyDescent="0.3">
      <c r="A40" s="95"/>
      <c r="B40" s="95"/>
      <c r="C40" s="95"/>
      <c r="D40" s="95"/>
      <c r="E40" s="95"/>
      <c r="F40" s="95"/>
      <c r="G40" s="18" t="s">
        <v>72</v>
      </c>
      <c r="H40" s="18" t="s">
        <v>70</v>
      </c>
      <c r="I40" s="18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2.3954900330283633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84.453963346100409</v>
      </c>
      <c r="R40" s="13">
        <f>('TUSD BE'!$R$40+'TUSD BF'!$R$40+'TUSD CVA'!$R$40)*(1 - CUSTOS!$M$40)</f>
        <v>13.339880636745743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68.974415893561797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137.43637268137681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27.608022446302641</v>
      </c>
      <c r="AE40" s="13">
        <f>('TUSD BE'!$AI$40+'TUSD BF'!$AI$40+'TUSD CVA'!$AI$40)*(1 - CUSTOS!$M$40)</f>
        <v>0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1.8880984147458599</v>
      </c>
      <c r="AK40" s="13">
        <v>0</v>
      </c>
      <c r="AL40" s="13">
        <v>0</v>
      </c>
      <c r="AM40" s="13">
        <v>0</v>
      </c>
      <c r="AN40" s="13">
        <v>49.1309276134659</v>
      </c>
      <c r="AO40" s="13">
        <v>7.6596478365176601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58.609457847874197</v>
      </c>
      <c r="AV40" s="13">
        <v>0</v>
      </c>
      <c r="AW40" s="13">
        <v>0</v>
      </c>
      <c r="AX40" s="13">
        <v>109.587324127</v>
      </c>
      <c r="AY40" s="13">
        <v>0</v>
      </c>
      <c r="AZ40" s="13">
        <v>0</v>
      </c>
      <c r="BA40" s="13">
        <v>28.266419206823802</v>
      </c>
      <c r="BB40" s="13">
        <v>0</v>
      </c>
      <c r="BC40" s="13">
        <v>0</v>
      </c>
      <c r="BD40" s="13">
        <v>0</v>
      </c>
    </row>
    <row r="41" spans="1:56" ht="11.25" customHeight="1" x14ac:dyDescent="0.3">
      <c r="A41" s="95"/>
      <c r="B41" s="17" t="s">
        <v>23</v>
      </c>
      <c r="C41" s="17" t="s">
        <v>44</v>
      </c>
      <c r="D41" s="17" t="s">
        <v>87</v>
      </c>
      <c r="E41" s="17" t="s">
        <v>25</v>
      </c>
      <c r="F41" s="17" t="s">
        <v>25</v>
      </c>
      <c r="G41" s="18" t="s">
        <v>74</v>
      </c>
      <c r="H41" s="18" t="s">
        <v>70</v>
      </c>
      <c r="I41" s="18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2.3954900330283633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84.453963346100409</v>
      </c>
      <c r="R41" s="13">
        <f>('TUSD BE'!$R$41+'TUSD BF'!$R$41+'TUSD CVA'!$R$41)*(1 - CUSTOS!$M$40)</f>
        <v>13.339880636745743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116.97911942372789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232.94312690249225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27.608022446302641</v>
      </c>
      <c r="AE41" s="13">
        <f>('TUSD BE'!$AI$41+'TUSD BF'!$AI$41+'TUSD CVA'!$AI$41)*(1 - CUSTOS!$M$40)</f>
        <v>0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1.8880984147458599</v>
      </c>
      <c r="AK41" s="13">
        <v>0</v>
      </c>
      <c r="AL41" s="13">
        <v>0</v>
      </c>
      <c r="AM41" s="13">
        <v>0</v>
      </c>
      <c r="AN41" s="13">
        <v>49.1309276134659</v>
      </c>
      <c r="AO41" s="13">
        <v>7.6596478365176601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99.400400865555</v>
      </c>
      <c r="AV41" s="13">
        <v>0</v>
      </c>
      <c r="AW41" s="13">
        <v>0</v>
      </c>
      <c r="AX41" s="13">
        <v>185.74132858503199</v>
      </c>
      <c r="AY41" s="13">
        <v>0</v>
      </c>
      <c r="AZ41" s="13">
        <v>0</v>
      </c>
      <c r="BA41" s="13">
        <v>28.266419206823802</v>
      </c>
      <c r="BB41" s="13">
        <v>0</v>
      </c>
      <c r="BC41" s="13">
        <v>0</v>
      </c>
      <c r="BD41" s="13">
        <v>0</v>
      </c>
    </row>
    <row r="42" spans="1:56" ht="11.25" customHeight="1" x14ac:dyDescent="0.3">
      <c r="A42" s="95"/>
      <c r="B42" s="95" t="s">
        <v>85</v>
      </c>
      <c r="C42" s="95" t="s">
        <v>44</v>
      </c>
      <c r="D42" s="17" t="s">
        <v>25</v>
      </c>
      <c r="E42" s="17" t="s">
        <v>25</v>
      </c>
      <c r="F42" s="17" t="s">
        <v>25</v>
      </c>
      <c r="G42" s="18" t="s">
        <v>74</v>
      </c>
      <c r="H42" s="18" t="s">
        <v>70</v>
      </c>
      <c r="I42" s="18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2.4475659033115882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86.289919071015632</v>
      </c>
      <c r="R42" s="13">
        <f>('TUSD BE'!$R$42+'TUSD BF'!$R$42+'TUSD CVA'!$R$42)*(1 - CUSTOS!$M$38)</f>
        <v>13.629878041892388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119.52214375902631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238.00710792211163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28.208196847309218</v>
      </c>
      <c r="AE42" s="13">
        <f>('TUSD BE'!$AI$42+'TUSD BF'!$AI$42+'TUSD CVA'!$AI$42)*(1 - CUSTOS!$M$38)</f>
        <v>0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1.9780078630670901</v>
      </c>
      <c r="AK42" s="13">
        <v>0</v>
      </c>
      <c r="AL42" s="13">
        <v>0</v>
      </c>
      <c r="AM42" s="13">
        <v>0</v>
      </c>
      <c r="AN42" s="13">
        <v>51.470495595059496</v>
      </c>
      <c r="AO42" s="13">
        <v>8.0243929715899291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104.13375328772401</v>
      </c>
      <c r="AV42" s="13">
        <v>0</v>
      </c>
      <c r="AW42" s="13">
        <v>0</v>
      </c>
      <c r="AX42" s="13">
        <v>194.586153755748</v>
      </c>
      <c r="AY42" s="13">
        <v>0</v>
      </c>
      <c r="AZ42" s="13">
        <v>0</v>
      </c>
      <c r="BA42" s="13">
        <v>29.612439169053498</v>
      </c>
      <c r="BB42" s="13">
        <v>0</v>
      </c>
      <c r="BC42" s="13">
        <v>0</v>
      </c>
      <c r="BD42" s="13">
        <v>0</v>
      </c>
    </row>
    <row r="43" spans="1:56" ht="11.25" customHeight="1" x14ac:dyDescent="0.3">
      <c r="A43" s="95"/>
      <c r="B43" s="95"/>
      <c r="C43" s="95"/>
      <c r="D43" s="17" t="s">
        <v>86</v>
      </c>
      <c r="E43" s="17" t="s">
        <v>25</v>
      </c>
      <c r="F43" s="17" t="s">
        <v>25</v>
      </c>
      <c r="G43" s="18" t="s">
        <v>74</v>
      </c>
      <c r="H43" s="18" t="s">
        <v>70</v>
      </c>
      <c r="I43" s="18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2.4475659033115882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86.289919071015632</v>
      </c>
      <c r="R43" s="13">
        <f>('TUSD BE'!$R$43+'TUSD BF'!$R$43+'TUSD CVA'!$R$43)*(1 - CUSTOS!$M$39)</f>
        <v>13.629878041892388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119.52214375902631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238.00710792211163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28.208196847309218</v>
      </c>
      <c r="AE43" s="13">
        <f>('TUSD BE'!$AI$43+'TUSD BF'!$AI$43+'TUSD CVA'!$AI$43)*(1 - CUSTOS!$M$39)</f>
        <v>0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1.9780078630670901</v>
      </c>
      <c r="AK43" s="13">
        <v>0</v>
      </c>
      <c r="AL43" s="13">
        <v>0</v>
      </c>
      <c r="AM43" s="13">
        <v>0</v>
      </c>
      <c r="AN43" s="13">
        <v>51.470495595059496</v>
      </c>
      <c r="AO43" s="13">
        <v>8.0243929715899291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104.13375328772401</v>
      </c>
      <c r="AV43" s="13">
        <v>0</v>
      </c>
      <c r="AW43" s="13">
        <v>0</v>
      </c>
      <c r="AX43" s="13">
        <v>194.586153755748</v>
      </c>
      <c r="AY43" s="13">
        <v>0</v>
      </c>
      <c r="AZ43" s="13">
        <v>0</v>
      </c>
      <c r="BA43" s="13">
        <v>29.612439169053498</v>
      </c>
      <c r="BB43" s="13">
        <v>0</v>
      </c>
      <c r="BC43" s="13">
        <v>0</v>
      </c>
      <c r="BD43" s="13">
        <v>0</v>
      </c>
    </row>
    <row r="44" spans="1:56" ht="11.25" customHeight="1" x14ac:dyDescent="0.3">
      <c r="A44" s="95"/>
      <c r="B44" s="95"/>
      <c r="C44" s="95"/>
      <c r="D44" s="17" t="s">
        <v>87</v>
      </c>
      <c r="E44" s="17" t="s">
        <v>25</v>
      </c>
      <c r="F44" s="17" t="s">
        <v>25</v>
      </c>
      <c r="G44" s="18" t="s">
        <v>74</v>
      </c>
      <c r="H44" s="18" t="s">
        <v>70</v>
      </c>
      <c r="I44" s="18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2.3954900330283633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84.453963346100409</v>
      </c>
      <c r="R44" s="13">
        <f>('TUSD BE'!$R$44+'TUSD BF'!$R$44+'TUSD CVA'!$R$44)*(1 - CUSTOS!$M$40)</f>
        <v>13.339880636745743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116.97911942372789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232.94312690249225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27.608022446302641</v>
      </c>
      <c r="AE44" s="13">
        <f>('TUSD BE'!$AI$44+'TUSD BF'!$AI$44+'TUSD CVA'!$AI$44)*(1 - CUSTOS!$M$40)</f>
        <v>0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1.8880984147458599</v>
      </c>
      <c r="AK44" s="13">
        <v>0</v>
      </c>
      <c r="AL44" s="13">
        <v>0</v>
      </c>
      <c r="AM44" s="13">
        <v>0</v>
      </c>
      <c r="AN44" s="13">
        <v>49.1309276134659</v>
      </c>
      <c r="AO44" s="13">
        <v>7.6596478365176601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99.400400865555</v>
      </c>
      <c r="AV44" s="13">
        <v>0</v>
      </c>
      <c r="AW44" s="13">
        <v>0</v>
      </c>
      <c r="AX44" s="13">
        <v>185.74132858503199</v>
      </c>
      <c r="AY44" s="13">
        <v>0</v>
      </c>
      <c r="AZ44" s="13">
        <v>0</v>
      </c>
      <c r="BA44" s="13">
        <v>28.266419206823802</v>
      </c>
      <c r="BB44" s="13">
        <v>0</v>
      </c>
      <c r="BC44" s="13">
        <v>0</v>
      </c>
      <c r="BD44" s="13">
        <v>0</v>
      </c>
    </row>
    <row r="45" spans="1:56" ht="11.25" customHeight="1" x14ac:dyDescent="0.3">
      <c r="A45" s="95" t="s">
        <v>35</v>
      </c>
      <c r="B45" s="95" t="s">
        <v>33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71</v>
      </c>
      <c r="H45" s="18" t="s">
        <v>70</v>
      </c>
      <c r="I45" s="18">
        <f>'MERCADO TUSD'!$U$42</f>
        <v>0.746</v>
      </c>
      <c r="J45" s="15"/>
      <c r="L45" s="13">
        <f>('TUSD BE'!$L$45+'TUSD BF'!$L$45+'TUSD CVA'!$L$45)*1</f>
        <v>0</v>
      </c>
      <c r="M45" s="13">
        <f>('TUSD BE'!$M$45+'TUSD BF'!$M$45+'TUSD CVA'!$M$45)*1</f>
        <v>2.6037935141612643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91.797786245761316</v>
      </c>
      <c r="R45" s="13">
        <f>('TUSD BE'!$R$45+'TUSD BF'!$R$45+'TUSD CVA'!$R$45)*1</f>
        <v>14.499870257332329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438.78168176784709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873.53633354144586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30.008720050328957</v>
      </c>
      <c r="AE45" s="13">
        <f>('TUSD BE'!$AI$45+'TUSD BF'!$AI$45+'TUSD CVA'!$AI$45)*1</f>
        <v>0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2.2477362080307799</v>
      </c>
      <c r="AK45" s="13">
        <v>0</v>
      </c>
      <c r="AL45" s="13">
        <v>0</v>
      </c>
      <c r="AM45" s="13">
        <v>0</v>
      </c>
      <c r="AN45" s="13">
        <v>58.489199539840399</v>
      </c>
      <c r="AO45" s="13">
        <v>9.1186283768067309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408.35395960664101</v>
      </c>
      <c r="AV45" s="13">
        <v>0</v>
      </c>
      <c r="AW45" s="13">
        <v>0</v>
      </c>
      <c r="AX45" s="13">
        <v>762.865857721368</v>
      </c>
      <c r="AY45" s="13">
        <v>0</v>
      </c>
      <c r="AZ45" s="13">
        <v>0</v>
      </c>
      <c r="BA45" s="13">
        <v>33.6504990557426</v>
      </c>
      <c r="BB45" s="13">
        <v>0</v>
      </c>
      <c r="BC45" s="13">
        <v>0</v>
      </c>
      <c r="BD45" s="13">
        <v>0</v>
      </c>
    </row>
    <row r="46" spans="1:56" ht="11.25" customHeight="1" x14ac:dyDescent="0.3">
      <c r="A46" s="95"/>
      <c r="B46" s="95"/>
      <c r="C46" s="95"/>
      <c r="D46" s="95"/>
      <c r="E46" s="95"/>
      <c r="F46" s="95"/>
      <c r="G46" s="18" t="s">
        <v>83</v>
      </c>
      <c r="H46" s="18" t="s">
        <v>70</v>
      </c>
      <c r="I46" s="18">
        <f>'MERCADO TUSD'!$U$43</f>
        <v>0.45699999999999996</v>
      </c>
      <c r="J46" s="15"/>
      <c r="L46" s="13">
        <f>('TUSD BE'!$L$46+'TUSD BF'!$L$46+'TUSD CVA'!$L$46)*1</f>
        <v>0</v>
      </c>
      <c r="M46" s="13">
        <f>('TUSD BE'!$M$46+'TUSD BF'!$M$46+'TUSD CVA'!$M$46)*1</f>
        <v>2.6037935141612643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91.797786245761316</v>
      </c>
      <c r="R46" s="13">
        <f>('TUSD BE'!$R$46+'TUSD BF'!$R$46+'TUSD CVA'!$R$46)*1</f>
        <v>14.499870257332329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263.21880483859866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524.12173976442136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30.008720050328957</v>
      </c>
      <c r="AE46" s="13">
        <f>('TUSD BE'!$AI$46+'TUSD BF'!$AI$46+'TUSD CVA'!$AI$46)*1</f>
        <v>0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2.2477362080307799</v>
      </c>
      <c r="AK46" s="13">
        <v>0</v>
      </c>
      <c r="AL46" s="13">
        <v>0</v>
      </c>
      <c r="AM46" s="13">
        <v>0</v>
      </c>
      <c r="AN46" s="13">
        <v>58.489199539840399</v>
      </c>
      <c r="AO46" s="13">
        <v>9.1186283768067309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244.96563101998299</v>
      </c>
      <c r="AV46" s="13">
        <v>0</v>
      </c>
      <c r="AW46" s="13">
        <v>0</v>
      </c>
      <c r="AX46" s="13">
        <v>457.71946383505798</v>
      </c>
      <c r="AY46" s="13">
        <v>0</v>
      </c>
      <c r="AZ46" s="13">
        <v>0</v>
      </c>
      <c r="BA46" s="13">
        <v>33.6504990557426</v>
      </c>
      <c r="BB46" s="13">
        <v>0</v>
      </c>
      <c r="BC46" s="13">
        <v>0</v>
      </c>
      <c r="BD46" s="13">
        <v>0</v>
      </c>
    </row>
    <row r="47" spans="1:56" ht="11.25" customHeight="1" x14ac:dyDescent="0.3">
      <c r="A47" s="95"/>
      <c r="B47" s="95"/>
      <c r="C47" s="95"/>
      <c r="D47" s="95"/>
      <c r="E47" s="95"/>
      <c r="F47" s="95"/>
      <c r="G47" s="18" t="s">
        <v>72</v>
      </c>
      <c r="H47" s="18" t="s">
        <v>70</v>
      </c>
      <c r="I47" s="18">
        <f>'MERCADO TUSD'!$U$44</f>
        <v>6.4780000000000006</v>
      </c>
      <c r="J47" s="15"/>
      <c r="L47" s="13">
        <f>('TUSD BE'!$L$47+'TUSD BF'!$L$47+'TUSD CVA'!$L$47)*1</f>
        <v>0</v>
      </c>
      <c r="M47" s="13">
        <f>('TUSD BE'!$M$47+'TUSD BF'!$M$47+'TUSD CVA'!$M$47)*1</f>
        <v>2.6037935141612643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91.797786245761316</v>
      </c>
      <c r="R47" s="13">
        <f>('TUSD BE'!$R$47+'TUSD BF'!$R$47+'TUSD CVA'!$R$47)*1</f>
        <v>14.499870257332329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87.718658797061977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174.70744778962762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30.008720050328957</v>
      </c>
      <c r="AE47" s="13">
        <f>('TUSD BE'!$AI$47+'TUSD BF'!$AI$47+'TUSD CVA'!$AI$47)*1</f>
        <v>0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2.2477362080307799</v>
      </c>
      <c r="AK47" s="13">
        <v>0</v>
      </c>
      <c r="AL47" s="13">
        <v>0</v>
      </c>
      <c r="AM47" s="13">
        <v>0</v>
      </c>
      <c r="AN47" s="13">
        <v>58.489199539840399</v>
      </c>
      <c r="AO47" s="13">
        <v>9.1186283768067309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81.635733363327105</v>
      </c>
      <c r="AV47" s="13">
        <v>0</v>
      </c>
      <c r="AW47" s="13">
        <v>0</v>
      </c>
      <c r="AX47" s="13">
        <v>152.57332393756201</v>
      </c>
      <c r="AY47" s="13">
        <v>0</v>
      </c>
      <c r="AZ47" s="13">
        <v>0</v>
      </c>
      <c r="BA47" s="13">
        <v>33.6504990557426</v>
      </c>
      <c r="BB47" s="13">
        <v>0</v>
      </c>
      <c r="BC47" s="13">
        <v>0</v>
      </c>
      <c r="BD47" s="13">
        <v>0</v>
      </c>
    </row>
    <row r="48" spans="1:56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74</v>
      </c>
      <c r="H48" s="18" t="s">
        <v>70</v>
      </c>
      <c r="I48" s="18">
        <f>'MERCADO TUSD'!$U$45</f>
        <v>2717.4190000000003</v>
      </c>
      <c r="J48" s="15"/>
      <c r="L48" s="13">
        <f>('TUSD BE'!$L$48+'TUSD BF'!$L$48+'TUSD CVA'!$L$48)*1</f>
        <v>0</v>
      </c>
      <c r="M48" s="13">
        <f>('TUSD BE'!$M$48+'TUSD BF'!$M$48+'TUSD CVA'!$M$48)*1</f>
        <v>2.6037935141612643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91.797786245761316</v>
      </c>
      <c r="R48" s="13">
        <f>('TUSD BE'!$R$48+'TUSD BF'!$R$48+'TUSD CVA'!$R$48)*1</f>
        <v>14.499870257332329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127.15121676492161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253.19905098096984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30.008720050328957</v>
      </c>
      <c r="AE48" s="13">
        <f>('TUSD BE'!$AI$48+'TUSD BF'!$AI$48+'TUSD CVA'!$AI$48)*1</f>
        <v>0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2.2477362080307799</v>
      </c>
      <c r="AK48" s="13">
        <v>0</v>
      </c>
      <c r="AL48" s="13">
        <v>0</v>
      </c>
      <c r="AM48" s="13">
        <v>0</v>
      </c>
      <c r="AN48" s="13">
        <v>58.489199539840399</v>
      </c>
      <c r="AO48" s="13">
        <v>9.1186283768067309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118.333810554232</v>
      </c>
      <c r="AV48" s="13">
        <v>0</v>
      </c>
      <c r="AW48" s="13">
        <v>0</v>
      </c>
      <c r="AX48" s="13">
        <v>221.120629267895</v>
      </c>
      <c r="AY48" s="13">
        <v>0</v>
      </c>
      <c r="AZ48" s="13">
        <v>0</v>
      </c>
      <c r="BA48" s="13">
        <v>33.6504990557426</v>
      </c>
      <c r="BB48" s="13">
        <v>0</v>
      </c>
      <c r="BC48" s="13">
        <v>0</v>
      </c>
      <c r="BD48" s="13">
        <v>0</v>
      </c>
    </row>
    <row r="49" spans="1:56" ht="11.25" customHeight="1" x14ac:dyDescent="0.3">
      <c r="A49" s="95"/>
      <c r="B49" s="17" t="s">
        <v>85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74</v>
      </c>
      <c r="H49" s="18" t="s">
        <v>70</v>
      </c>
      <c r="I49" s="18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2.6037935141612643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91.797786245761316</v>
      </c>
      <c r="R49" s="13">
        <f>('TUSD BE'!$R$49+'TUSD BF'!$R$49+'TUSD CVA'!$R$49)*1</f>
        <v>14.499870257332329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127.15121676492161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253.19905098096984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30.008720050328957</v>
      </c>
      <c r="AE49" s="13">
        <f>('TUSD BE'!$AI$49+'TUSD BF'!$AI$49+'TUSD CVA'!$AI$49)*1</f>
        <v>0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2.2477362080307799</v>
      </c>
      <c r="AK49" s="13">
        <v>0</v>
      </c>
      <c r="AL49" s="13">
        <v>0</v>
      </c>
      <c r="AM49" s="13">
        <v>0</v>
      </c>
      <c r="AN49" s="13">
        <v>58.489199539840399</v>
      </c>
      <c r="AO49" s="13">
        <v>9.1186283768067309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118.333810554232</v>
      </c>
      <c r="AV49" s="13">
        <v>0</v>
      </c>
      <c r="AW49" s="13">
        <v>0</v>
      </c>
      <c r="AX49" s="13">
        <v>221.120629267895</v>
      </c>
      <c r="AY49" s="13">
        <v>0</v>
      </c>
      <c r="AZ49" s="13">
        <v>0</v>
      </c>
      <c r="BA49" s="13">
        <v>33.6504990557426</v>
      </c>
      <c r="BB49" s="13">
        <v>0</v>
      </c>
      <c r="BC49" s="13">
        <v>0</v>
      </c>
      <c r="BD49" s="13">
        <v>0</v>
      </c>
    </row>
    <row r="50" spans="1:56" ht="11.25" customHeight="1" x14ac:dyDescent="0.3">
      <c r="A50" s="95" t="s">
        <v>46</v>
      </c>
      <c r="B50" s="95" t="s">
        <v>23</v>
      </c>
      <c r="C50" s="95" t="s">
        <v>47</v>
      </c>
      <c r="D50" s="17" t="s">
        <v>48</v>
      </c>
      <c r="E50" s="17" t="s">
        <v>25</v>
      </c>
      <c r="F50" s="17" t="s">
        <v>25</v>
      </c>
      <c r="G50" s="18" t="s">
        <v>74</v>
      </c>
      <c r="H50" s="18" t="s">
        <v>70</v>
      </c>
      <c r="I50" s="18">
        <f>'MERCADO TUSD'!$U$47</f>
        <v>2495.3550000000005</v>
      </c>
      <c r="J50" s="15"/>
      <c r="L50" s="13">
        <f>('TUSD BE'!$L$50+'TUSD BF'!$L$50+'TUSD CVA'!$L$50)*1</f>
        <v>0</v>
      </c>
      <c r="M50" s="13">
        <f>('TUSD BE'!$M$50+'TUSD BF'!$M$50+'TUSD CVA'!$M$50)*1</f>
        <v>1.4320864327886953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50.48878243516873</v>
      </c>
      <c r="R50" s="13">
        <f>('TUSD BE'!$R$50+'TUSD BF'!$R$50+'TUSD CVA'!$R$50)*1</f>
        <v>7.9749286415327827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69.933169220706887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139.25947803953343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16.504796027680928</v>
      </c>
      <c r="AE50" s="13">
        <f>('TUSD BE'!$AI$50+'TUSD BF'!$AI$50+'TUSD CVA'!$AI$50)*1</f>
        <v>0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1.2362549144169299</v>
      </c>
      <c r="AK50" s="13">
        <v>0</v>
      </c>
      <c r="AL50" s="13">
        <v>0</v>
      </c>
      <c r="AM50" s="13">
        <v>0</v>
      </c>
      <c r="AN50" s="13">
        <v>32.169059746912197</v>
      </c>
      <c r="AO50" s="13">
        <v>5.0152456072436999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65.083595804827695</v>
      </c>
      <c r="AV50" s="13">
        <v>0</v>
      </c>
      <c r="AW50" s="13">
        <v>0</v>
      </c>
      <c r="AX50" s="13">
        <v>121.616346097342</v>
      </c>
      <c r="AY50" s="13">
        <v>0</v>
      </c>
      <c r="AZ50" s="13">
        <v>0</v>
      </c>
      <c r="BA50" s="13">
        <v>18.507774480658401</v>
      </c>
      <c r="BB50" s="13">
        <v>0</v>
      </c>
      <c r="BC50" s="13">
        <v>0</v>
      </c>
      <c r="BD50" s="13">
        <v>0</v>
      </c>
    </row>
    <row r="51" spans="1:56" ht="11.25" customHeight="1" x14ac:dyDescent="0.3">
      <c r="A51" s="95"/>
      <c r="B51" s="95"/>
      <c r="C51" s="95"/>
      <c r="D51" s="18" t="s">
        <v>49</v>
      </c>
      <c r="E51" s="18" t="s">
        <v>25</v>
      </c>
      <c r="F51" s="18" t="s">
        <v>25</v>
      </c>
      <c r="G51" s="18" t="s">
        <v>74</v>
      </c>
      <c r="H51" s="18" t="s">
        <v>70</v>
      </c>
      <c r="I51" s="18">
        <f>'MERCADO TUSD'!$U$48</f>
        <v>1567.3130000000001</v>
      </c>
      <c r="J51" s="15"/>
      <c r="L51" s="13">
        <f>('TUSD BE'!$L$51+'TUSD BF'!$L$51+'TUSD CVA'!$L$51)*1</f>
        <v>0</v>
      </c>
      <c r="M51" s="13">
        <f>('TUSD BE'!$M$51+'TUSD BF'!$M$51+'TUSD CVA'!$M$51)*1</f>
        <v>1.5622761084967585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55.078671747456788</v>
      </c>
      <c r="R51" s="13">
        <f>('TUSD BE'!$R$51+'TUSD BF'!$R$51+'TUSD CVA'!$R$51)*1</f>
        <v>8.6999221543993972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76.29073005895296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151.91943058858189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18.005232030197377</v>
      </c>
      <c r="AE51" s="13">
        <f>('TUSD BE'!$AI$51+'TUSD BF'!$AI$51+'TUSD CVA'!$AI$51)*1</f>
        <v>0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1.3486417248184699</v>
      </c>
      <c r="AK51" s="13">
        <v>0</v>
      </c>
      <c r="AL51" s="13">
        <v>0</v>
      </c>
      <c r="AM51" s="13">
        <v>0</v>
      </c>
      <c r="AN51" s="13">
        <v>35.093519723904201</v>
      </c>
      <c r="AO51" s="13">
        <v>5.4711770260840398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71.000286332539304</v>
      </c>
      <c r="AV51" s="13">
        <v>0</v>
      </c>
      <c r="AW51" s="13">
        <v>0</v>
      </c>
      <c r="AX51" s="13">
        <v>132.672377560737</v>
      </c>
      <c r="AY51" s="13">
        <v>0</v>
      </c>
      <c r="AZ51" s="13">
        <v>0</v>
      </c>
      <c r="BA51" s="13">
        <v>20.190299433445499</v>
      </c>
      <c r="BB51" s="13">
        <v>0</v>
      </c>
      <c r="BC51" s="13">
        <v>0</v>
      </c>
      <c r="BD51" s="13">
        <v>0</v>
      </c>
    </row>
    <row r="53" spans="1:56" ht="11.25" customHeight="1" x14ac:dyDescent="0.3">
      <c r="L53" s="92" t="s">
        <v>801</v>
      </c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I53" s="92" t="s">
        <v>802</v>
      </c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</row>
    <row r="54" spans="1:56" ht="11.25" customHeight="1" x14ac:dyDescent="0.3">
      <c r="L54" s="92" t="s">
        <v>499</v>
      </c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I54" s="92" t="s">
        <v>499</v>
      </c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</row>
    <row r="55" spans="1:56" ht="11.25" customHeight="1" x14ac:dyDescent="0.3">
      <c r="L55" s="92" t="s">
        <v>500</v>
      </c>
      <c r="M55" s="92"/>
      <c r="N55" s="92"/>
      <c r="O55" s="92"/>
      <c r="P55" s="92"/>
      <c r="Q55" s="92"/>
      <c r="R55" s="92"/>
      <c r="S55" s="92"/>
      <c r="T55" s="92" t="s">
        <v>509</v>
      </c>
      <c r="U55" s="92"/>
      <c r="V55" s="92"/>
      <c r="W55" s="92"/>
      <c r="X55" s="92"/>
      <c r="Y55" s="92"/>
      <c r="Z55" s="92"/>
      <c r="AA55" s="10" t="s">
        <v>517</v>
      </c>
      <c r="AB55" s="92" t="s">
        <v>519</v>
      </c>
      <c r="AC55" s="92"/>
      <c r="AD55" s="92" t="s">
        <v>522</v>
      </c>
      <c r="AE55" s="92"/>
      <c r="AF55" s="92"/>
      <c r="AG55" s="92"/>
      <c r="AI55" s="92" t="s">
        <v>500</v>
      </c>
      <c r="AJ55" s="92"/>
      <c r="AK55" s="92"/>
      <c r="AL55" s="92"/>
      <c r="AM55" s="92"/>
      <c r="AN55" s="92"/>
      <c r="AO55" s="92"/>
      <c r="AP55" s="92"/>
      <c r="AQ55" s="92" t="s">
        <v>509</v>
      </c>
      <c r="AR55" s="92"/>
      <c r="AS55" s="92"/>
      <c r="AT55" s="92"/>
      <c r="AU55" s="92"/>
      <c r="AV55" s="92"/>
      <c r="AW55" s="92"/>
      <c r="AX55" s="10" t="s">
        <v>517</v>
      </c>
      <c r="AY55" s="92" t="s">
        <v>519</v>
      </c>
      <c r="AZ55" s="92"/>
      <c r="BA55" s="92" t="s">
        <v>522</v>
      </c>
      <c r="BB55" s="92"/>
      <c r="BC55" s="92"/>
      <c r="BD55" s="92"/>
    </row>
    <row r="56" spans="1:56" ht="11.25" customHeight="1" x14ac:dyDescent="0.3">
      <c r="L56" s="10" t="s">
        <v>585</v>
      </c>
      <c r="M56" s="10" t="s">
        <v>501</v>
      </c>
      <c r="N56" s="10" t="s">
        <v>502</v>
      </c>
      <c r="O56" s="10" t="s">
        <v>503</v>
      </c>
      <c r="P56" s="10" t="s">
        <v>504</v>
      </c>
      <c r="Q56" s="10" t="s">
        <v>505</v>
      </c>
      <c r="R56" s="10" t="s">
        <v>506</v>
      </c>
      <c r="S56" s="10" t="s">
        <v>507</v>
      </c>
      <c r="T56" s="10" t="s">
        <v>510</v>
      </c>
      <c r="U56" s="10" t="s">
        <v>511</v>
      </c>
      <c r="V56" s="10" t="s">
        <v>512</v>
      </c>
      <c r="W56" s="10" t="s">
        <v>513</v>
      </c>
      <c r="X56" s="10" t="s">
        <v>514</v>
      </c>
      <c r="Y56" s="10" t="s">
        <v>515</v>
      </c>
      <c r="Z56" s="10" t="s">
        <v>516</v>
      </c>
      <c r="AA56" s="10" t="s">
        <v>518</v>
      </c>
      <c r="AB56" s="10" t="s">
        <v>520</v>
      </c>
      <c r="AC56" s="10" t="s">
        <v>521</v>
      </c>
      <c r="AD56" s="10" t="s">
        <v>523</v>
      </c>
      <c r="AE56" s="10" t="s">
        <v>524</v>
      </c>
      <c r="AF56" s="10" t="s">
        <v>525</v>
      </c>
      <c r="AG56" s="10" t="s">
        <v>526</v>
      </c>
      <c r="AI56" s="10" t="s">
        <v>585</v>
      </c>
      <c r="AJ56" s="10" t="s">
        <v>501</v>
      </c>
      <c r="AK56" s="10" t="s">
        <v>502</v>
      </c>
      <c r="AL56" s="10" t="s">
        <v>503</v>
      </c>
      <c r="AM56" s="10" t="s">
        <v>504</v>
      </c>
      <c r="AN56" s="10" t="s">
        <v>505</v>
      </c>
      <c r="AO56" s="10" t="s">
        <v>506</v>
      </c>
      <c r="AP56" s="10" t="s">
        <v>507</v>
      </c>
      <c r="AQ56" s="10" t="s">
        <v>510</v>
      </c>
      <c r="AR56" s="10" t="s">
        <v>511</v>
      </c>
      <c r="AS56" s="10" t="s">
        <v>512</v>
      </c>
      <c r="AT56" s="10" t="s">
        <v>513</v>
      </c>
      <c r="AU56" s="10" t="s">
        <v>514</v>
      </c>
      <c r="AV56" s="10" t="s">
        <v>515</v>
      </c>
      <c r="AW56" s="10" t="s">
        <v>516</v>
      </c>
      <c r="AX56" s="10" t="s">
        <v>518</v>
      </c>
      <c r="AY56" s="10" t="s">
        <v>520</v>
      </c>
      <c r="AZ56" s="10" t="s">
        <v>521</v>
      </c>
      <c r="BA56" s="10" t="s">
        <v>523</v>
      </c>
      <c r="BB56" s="10" t="s">
        <v>524</v>
      </c>
      <c r="BC56" s="10" t="s">
        <v>525</v>
      </c>
      <c r="BD56" s="10" t="s">
        <v>526</v>
      </c>
    </row>
    <row r="57" spans="1:56" ht="11.25" customHeight="1" x14ac:dyDescent="0.3">
      <c r="A57" s="9" t="s">
        <v>37</v>
      </c>
      <c r="B57" s="9" t="s">
        <v>803</v>
      </c>
      <c r="C57" s="9" t="s">
        <v>804</v>
      </c>
      <c r="D57" s="9" t="s">
        <v>805</v>
      </c>
      <c r="E57" s="9" t="s">
        <v>806</v>
      </c>
      <c r="F57" s="9" t="s">
        <v>807</v>
      </c>
      <c r="G57" s="9" t="s">
        <v>808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254351.67503282387</v>
      </c>
      <c r="Y57" s="13">
        <f>$I$5*$Y$5</f>
        <v>0</v>
      </c>
      <c r="Z57" s="13">
        <f>$I$5*$Z$5</f>
        <v>0</v>
      </c>
      <c r="AA57" s="13">
        <f>$I$5*$AA$5</f>
        <v>396851.22867035691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236713.5428214657</v>
      </c>
      <c r="AV57" s="13">
        <f>$I$5*$AV$5</f>
        <v>0</v>
      </c>
      <c r="AW57" s="13">
        <f>$I$5*$AW$5</f>
        <v>0</v>
      </c>
      <c r="AX57" s="13">
        <f>$I$5*$AX$5</f>
        <v>346573.16276182252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3">
      <c r="A58" s="9" t="s">
        <v>37</v>
      </c>
      <c r="B58" s="9" t="s">
        <v>803</v>
      </c>
      <c r="C58" s="9" t="s">
        <v>804</v>
      </c>
      <c r="D58" s="9" t="s">
        <v>805</v>
      </c>
      <c r="E58" s="9" t="s">
        <v>806</v>
      </c>
      <c r="F58" s="9" t="s">
        <v>807</v>
      </c>
      <c r="G58" s="9" t="s">
        <v>809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103625.13633812981</v>
      </c>
      <c r="Y58" s="13">
        <f>$I$6*$Y$6</f>
        <v>0</v>
      </c>
      <c r="Z58" s="13">
        <f>$I$6*$Z$6</f>
        <v>0</v>
      </c>
      <c r="AA58" s="13">
        <f>$I$6*$AA$6</f>
        <v>111777.56631332528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96438.986841969512</v>
      </c>
      <c r="AV58" s="13">
        <f>$I$6*$AV$6</f>
        <v>0</v>
      </c>
      <c r="AW58" s="13">
        <f>$I$6*$AW$6</f>
        <v>0</v>
      </c>
      <c r="AX58" s="13">
        <f>$I$6*$AX$6</f>
        <v>97616.246741292838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3">
      <c r="A59" s="9" t="s">
        <v>37</v>
      </c>
      <c r="B59" s="9" t="s">
        <v>803</v>
      </c>
      <c r="C59" s="9" t="s">
        <v>804</v>
      </c>
      <c r="D59" s="9" t="s">
        <v>805</v>
      </c>
      <c r="E59" s="9" t="s">
        <v>806</v>
      </c>
      <c r="F59" s="9" t="s">
        <v>807</v>
      </c>
      <c r="G59" s="9" t="s">
        <v>810</v>
      </c>
      <c r="L59" s="13">
        <f>$I$7*$L$7</f>
        <v>0</v>
      </c>
      <c r="M59" s="13">
        <f>$I$7*$M$7</f>
        <v>4664.211522345995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316349.67178120889</v>
      </c>
      <c r="R59" s="13">
        <f>$I$7*$R$7</f>
        <v>59486.718221753639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47532.925208187422</v>
      </c>
      <c r="AE59" s="13">
        <f>$I$7*$AE$7</f>
        <v>0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4029.0626915137091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208761.69987425808</v>
      </c>
      <c r="AO59" s="13">
        <f>$I$7*$AO$7</f>
        <v>37409.802101207613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53301.289464113113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3">
      <c r="A60" s="9" t="s">
        <v>37</v>
      </c>
      <c r="B60" s="9" t="s">
        <v>803</v>
      </c>
      <c r="C60" s="9" t="s">
        <v>804</v>
      </c>
      <c r="D60" s="9" t="s">
        <v>805</v>
      </c>
      <c r="E60" s="9" t="s">
        <v>811</v>
      </c>
      <c r="F60" s="9" t="s">
        <v>812</v>
      </c>
      <c r="G60" s="9" t="s">
        <v>813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3">
      <c r="A61" s="9" t="s">
        <v>37</v>
      </c>
      <c r="B61" s="9" t="s">
        <v>814</v>
      </c>
      <c r="C61" s="9" t="s">
        <v>815</v>
      </c>
      <c r="D61" s="9" t="s">
        <v>816</v>
      </c>
      <c r="E61" s="9" t="s">
        <v>817</v>
      </c>
      <c r="F61" s="9" t="s">
        <v>818</v>
      </c>
      <c r="G61" s="9" t="s">
        <v>819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3">
      <c r="A62" s="9" t="s">
        <v>37</v>
      </c>
      <c r="B62" s="9" t="s">
        <v>820</v>
      </c>
      <c r="C62" s="9" t="s">
        <v>821</v>
      </c>
      <c r="D62" s="9" t="s">
        <v>822</v>
      </c>
      <c r="E62" s="9" t="s">
        <v>823</v>
      </c>
      <c r="F62" s="9" t="s">
        <v>824</v>
      </c>
      <c r="G62" s="9" t="s">
        <v>825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283767.38855787489</v>
      </c>
      <c r="Y62" s="13">
        <f>$I$10*$Y$10</f>
        <v>0</v>
      </c>
      <c r="Z62" s="13">
        <f>$I$10*$Z$10</f>
        <v>0</v>
      </c>
      <c r="AA62" s="13">
        <f>$I$10*$AA$10</f>
        <v>306092.02760021621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264088.81491857965</v>
      </c>
      <c r="AV62" s="13">
        <f>$I$10*$AV$10</f>
        <v>0</v>
      </c>
      <c r="AW62" s="13">
        <f>$I$10*$AW$10</f>
        <v>0</v>
      </c>
      <c r="AX62" s="13">
        <f>$I$10*$AX$10</f>
        <v>267312.62700790534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3">
      <c r="A63" s="9" t="s">
        <v>37</v>
      </c>
      <c r="B63" s="9" t="s">
        <v>820</v>
      </c>
      <c r="C63" s="9" t="s">
        <v>821</v>
      </c>
      <c r="D63" s="9" t="s">
        <v>822</v>
      </c>
      <c r="E63" s="9" t="s">
        <v>823</v>
      </c>
      <c r="F63" s="9" t="s">
        <v>824</v>
      </c>
      <c r="G63" s="9" t="s">
        <v>826</v>
      </c>
      <c r="L63" s="13">
        <f>$I$11*$L$11</f>
        <v>0</v>
      </c>
      <c r="M63" s="13">
        <f>$I$11*$M$11</f>
        <v>143.32218698893925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9720.8127452399513</v>
      </c>
      <c r="R63" s="13">
        <f>$I$11*$R$11</f>
        <v>1827.911644120343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118267.76392558478</v>
      </c>
      <c r="Y63" s="13">
        <f>$I$11*$Y$11</f>
        <v>0</v>
      </c>
      <c r="Z63" s="13">
        <f>$I$11*$Z$11</f>
        <v>0</v>
      </c>
      <c r="AA63" s="13">
        <f>$I$11*$AA$11</f>
        <v>184453.47365203901</v>
      </c>
      <c r="AB63" s="13">
        <f ca="1">$I$11*$AB$11</f>
        <v>0</v>
      </c>
      <c r="AC63" s="13">
        <f ca="1">$I$11*$AC$11</f>
        <v>0</v>
      </c>
      <c r="AD63" s="13">
        <f>$I$11*$AD$11</f>
        <v>1460.5947355047385</v>
      </c>
      <c r="AE63" s="13">
        <f>$I$11*$AE$11</f>
        <v>0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123.8052934985333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6414.8427321876779</v>
      </c>
      <c r="AO63" s="13">
        <f>$I$11*$AO$11</f>
        <v>1149.5307676937639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110066.37994486948</v>
      </c>
      <c r="AV63" s="13">
        <f>$I$11*$AV$11</f>
        <v>0</v>
      </c>
      <c r="AW63" s="13">
        <f>$I$11*$AW$11</f>
        <v>0</v>
      </c>
      <c r="AX63" s="13">
        <f>$I$11*$AX$11</f>
        <v>161084.60395015019</v>
      </c>
      <c r="AY63" s="13">
        <f>$I$11*$AY$11</f>
        <v>0</v>
      </c>
      <c r="AZ63" s="13">
        <f>$I$11*$AZ$11</f>
        <v>0</v>
      </c>
      <c r="BA63" s="13">
        <f>$I$11*$BA$11</f>
        <v>1637.8453976042711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3">
      <c r="A64" s="9" t="s">
        <v>37</v>
      </c>
      <c r="B64" s="9" t="s">
        <v>820</v>
      </c>
      <c r="C64" s="9" t="s">
        <v>821</v>
      </c>
      <c r="D64" s="9" t="s">
        <v>822</v>
      </c>
      <c r="E64" s="9" t="s">
        <v>823</v>
      </c>
      <c r="F64" s="9" t="s">
        <v>824</v>
      </c>
      <c r="G64" s="9" t="s">
        <v>827</v>
      </c>
      <c r="L64" s="13">
        <f>$I$12*$L$12</f>
        <v>0</v>
      </c>
      <c r="M64" s="13">
        <f>$I$12*$M$12</f>
        <v>5468.1193392549758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370874.63764158846</v>
      </c>
      <c r="R64" s="13">
        <f>$I$12*$R$12</f>
        <v>69739.648980064609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55725.540391341034</v>
      </c>
      <c r="AE64" s="13">
        <f>$I$12*$AE$12</f>
        <v>0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4723.4983913112746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244743.16460759641</v>
      </c>
      <c r="AO64" s="13">
        <f>$I$12*$AO$12</f>
        <v>43857.629819589536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62488.120517173207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3">
      <c r="A65" s="9" t="s">
        <v>37</v>
      </c>
      <c r="B65" s="9" t="s">
        <v>820</v>
      </c>
      <c r="C65" s="9" t="s">
        <v>821</v>
      </c>
      <c r="D65" s="9" t="s">
        <v>822</v>
      </c>
      <c r="E65" s="9" t="s">
        <v>828</v>
      </c>
      <c r="F65" s="9" t="s">
        <v>829</v>
      </c>
      <c r="G65" s="9" t="s">
        <v>830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3">
      <c r="A66" s="9" t="s">
        <v>37</v>
      </c>
      <c r="B66" s="9" t="s">
        <v>820</v>
      </c>
      <c r="C66" s="9" t="s">
        <v>821</v>
      </c>
      <c r="D66" s="9" t="s">
        <v>822</v>
      </c>
      <c r="E66" s="9" t="s">
        <v>828</v>
      </c>
      <c r="F66" s="9" t="s">
        <v>829</v>
      </c>
      <c r="G66" s="9" t="s">
        <v>831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3">
      <c r="A67" s="9" t="s">
        <v>80</v>
      </c>
      <c r="B67" s="9" t="s">
        <v>832</v>
      </c>
      <c r="C67" s="9" t="s">
        <v>833</v>
      </c>
      <c r="D67" s="9" t="s">
        <v>834</v>
      </c>
      <c r="E67" s="9" t="s">
        <v>835</v>
      </c>
      <c r="F67" s="9" t="s">
        <v>836</v>
      </c>
      <c r="G67" s="9" t="s">
        <v>837</v>
      </c>
      <c r="L67" s="13">
        <f>$I$15*$L$15</f>
        <v>0</v>
      </c>
      <c r="M67" s="13">
        <f>$I$15*$M$15</f>
        <v>1.1504392740929793E-10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7.9332165518559594E-8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1.06204224050772E-10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6.9281375333299597E-8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3">
      <c r="A68" s="9" t="s">
        <v>80</v>
      </c>
      <c r="B68" s="9" t="s">
        <v>832</v>
      </c>
      <c r="C68" s="9" t="s">
        <v>833</v>
      </c>
      <c r="D68" s="9" t="s">
        <v>834</v>
      </c>
      <c r="E68" s="9" t="s">
        <v>838</v>
      </c>
      <c r="F68" s="9" t="s">
        <v>839</v>
      </c>
      <c r="G68" s="9" t="s">
        <v>840</v>
      </c>
      <c r="L68" s="13">
        <f>$I$16*$L$16</f>
        <v>0</v>
      </c>
      <c r="M68" s="13">
        <f>$I$16*$M$16</f>
        <v>1.1504392740929793E-10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1.6140383300015745E-7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1.06204224050772E-10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1.4095532529134201E-7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3">
      <c r="A69" s="9" t="s">
        <v>22</v>
      </c>
      <c r="B69" s="9" t="s">
        <v>841</v>
      </c>
      <c r="C69" s="9" t="s">
        <v>842</v>
      </c>
      <c r="D69" s="9" t="s">
        <v>843</v>
      </c>
      <c r="E69" s="9" t="s">
        <v>844</v>
      </c>
      <c r="F69" s="9" t="s">
        <v>845</v>
      </c>
      <c r="G69" s="9" t="s">
        <v>846</v>
      </c>
      <c r="L69" s="13">
        <f>$I$17*$L$17</f>
        <v>0</v>
      </c>
      <c r="M69" s="13">
        <f>$I$17*$M$17</f>
        <v>1.7393340674597244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61.32092121216855</v>
      </c>
      <c r="R69" s="13">
        <f>$I$17*$R$17</f>
        <v>9.6859133318979946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229.43486458137988</v>
      </c>
      <c r="Y69" s="13">
        <f>$I$17*$Y$17</f>
        <v>0</v>
      </c>
      <c r="Z69" s="13">
        <f>$I$17*$Z$17</f>
        <v>0</v>
      </c>
      <c r="AA69" s="13">
        <f>$I$17*$AA$17</f>
        <v>456.66964706616494</v>
      </c>
      <c r="AB69" s="13">
        <f ca="1">$I$17*$AB$17</f>
        <v>0</v>
      </c>
      <c r="AC69" s="13">
        <f ca="1">$I$17*$AC$17</f>
        <v>0</v>
      </c>
      <c r="AD69" s="13">
        <f>$I$17*$AD$17</f>
        <v>20.045824993619743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1.5014877869645609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39.07078529261338</v>
      </c>
      <c r="AO69" s="13">
        <f>$I$17*$AO$17</f>
        <v>6.0912437557068957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213.52449500118141</v>
      </c>
      <c r="AV69" s="13">
        <f>$I$17*$AV$17</f>
        <v>0</v>
      </c>
      <c r="AW69" s="13">
        <f>$I$17*$AW$17</f>
        <v>0</v>
      </c>
      <c r="AX69" s="13">
        <f>$I$17*$AX$17</f>
        <v>398.81304252692246</v>
      </c>
      <c r="AY69" s="13">
        <f>$I$17*$AY$17</f>
        <v>0</v>
      </c>
      <c r="AZ69" s="13">
        <f>$I$17*$AZ$17</f>
        <v>0</v>
      </c>
      <c r="BA69" s="13">
        <f>$I$17*$BA$17</f>
        <v>22.478533369236054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3">
      <c r="A70" s="9" t="s">
        <v>22</v>
      </c>
      <c r="B70" s="9" t="s">
        <v>841</v>
      </c>
      <c r="C70" s="9" t="s">
        <v>842</v>
      </c>
      <c r="D70" s="9" t="s">
        <v>843</v>
      </c>
      <c r="E70" s="9" t="s">
        <v>844</v>
      </c>
      <c r="F70" s="9" t="s">
        <v>845</v>
      </c>
      <c r="G70" s="9" t="s">
        <v>847</v>
      </c>
      <c r="L70" s="13">
        <f>$I$18*$L$18</f>
        <v>0</v>
      </c>
      <c r="M70" s="13">
        <f>$I$18*$M$18</f>
        <v>0.88528979481482994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31.211247323558851</v>
      </c>
      <c r="R70" s="13">
        <f>$I$18*$R$18</f>
        <v>4.9299558874929925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70.06694796063654</v>
      </c>
      <c r="Y70" s="13">
        <f>$I$18*$Y$18</f>
        <v>0</v>
      </c>
      <c r="Z70" s="13">
        <f>$I$18*$Z$18</f>
        <v>0</v>
      </c>
      <c r="AA70" s="13">
        <f>$I$18*$AA$18</f>
        <v>139.46205545743535</v>
      </c>
      <c r="AB70" s="13">
        <f ca="1">$I$18*$AB$18</f>
        <v>0</v>
      </c>
      <c r="AC70" s="13">
        <f ca="1">$I$18*$AC$18</f>
        <v>0</v>
      </c>
      <c r="AD70" s="13">
        <f>$I$18*$AD$18</f>
        <v>10.202964817111846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0.76423031073046521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19.886327843545736</v>
      </c>
      <c r="AO70" s="13">
        <f>$I$18*$AO$18</f>
        <v>3.1003336481142889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65.208085491058725</v>
      </c>
      <c r="AV70" s="13">
        <f>$I$18*$AV$18</f>
        <v>0</v>
      </c>
      <c r="AW70" s="13">
        <f>$I$18*$AW$18</f>
        <v>0</v>
      </c>
      <c r="AX70" s="13">
        <f>$I$18*$AX$18</f>
        <v>121.79326793190786</v>
      </c>
      <c r="AY70" s="13">
        <f>$I$18*$AY$18</f>
        <v>0</v>
      </c>
      <c r="AZ70" s="13">
        <f>$I$18*$AZ$18</f>
        <v>0</v>
      </c>
      <c r="BA70" s="13">
        <f>$I$18*$BA$18</f>
        <v>11.441169678952484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3">
      <c r="A71" s="9" t="s">
        <v>22</v>
      </c>
      <c r="B71" s="9" t="s">
        <v>841</v>
      </c>
      <c r="C71" s="9" t="s">
        <v>842</v>
      </c>
      <c r="D71" s="9" t="s">
        <v>843</v>
      </c>
      <c r="E71" s="9" t="s">
        <v>844</v>
      </c>
      <c r="F71" s="9" t="s">
        <v>845</v>
      </c>
      <c r="G71" s="9" t="s">
        <v>848</v>
      </c>
      <c r="L71" s="13">
        <f>$I$19*$L$19</f>
        <v>0</v>
      </c>
      <c r="M71" s="13">
        <f>$I$19*$M$19</f>
        <v>22.551455626150709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795.06062667453875</v>
      </c>
      <c r="R71" s="13">
        <f>$I$19*$R$19</f>
        <v>125.5833762987553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595.49469541747226</v>
      </c>
      <c r="Y71" s="13">
        <f>$I$19*$Y$19</f>
        <v>0</v>
      </c>
      <c r="Z71" s="13">
        <f>$I$19*$Z$19</f>
        <v>0</v>
      </c>
      <c r="AA71" s="13">
        <f>$I$19*$AA$19</f>
        <v>1184.1953057058295</v>
      </c>
      <c r="AB71" s="13">
        <f ca="1">$I$19*$AB$19</f>
        <v>0</v>
      </c>
      <c r="AC71" s="13">
        <f ca="1">$I$19*$AC$19</f>
        <v>0</v>
      </c>
      <c r="AD71" s="13">
        <f>$I$19*$AD$19</f>
        <v>259.9055243558991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19.467643297754584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506.57495721455768</v>
      </c>
      <c r="AO71" s="13">
        <f>$I$19*$AO$19</f>
        <v>78.976440371523097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554.19969384704314</v>
      </c>
      <c r="AV71" s="13">
        <f>$I$19*$AV$19</f>
        <v>0</v>
      </c>
      <c r="AW71" s="13">
        <f>$I$19*$AW$19</f>
        <v>0</v>
      </c>
      <c r="AX71" s="13">
        <f>$I$19*$AX$19</f>
        <v>1034.1667866190035</v>
      </c>
      <c r="AY71" s="13">
        <f>$I$19*$AY$19</f>
        <v>0</v>
      </c>
      <c r="AZ71" s="13">
        <f>$I$19*$AZ$19</f>
        <v>0</v>
      </c>
      <c r="BA71" s="13">
        <f>$I$19*$BA$19</f>
        <v>291.44697232178663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3">
      <c r="A72" s="9" t="s">
        <v>22</v>
      </c>
      <c r="B72" s="9" t="s">
        <v>849</v>
      </c>
      <c r="C72" s="9" t="s">
        <v>850</v>
      </c>
      <c r="D72" s="9" t="s">
        <v>851</v>
      </c>
      <c r="E72" s="9" t="s">
        <v>852</v>
      </c>
      <c r="F72" s="9" t="s">
        <v>853</v>
      </c>
      <c r="G72" s="9" t="s">
        <v>854</v>
      </c>
      <c r="L72" s="13">
        <f>$I$20*$L$20</f>
        <v>0</v>
      </c>
      <c r="M72" s="13">
        <f>$I$20*$M$20</f>
        <v>41553.906843183933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1464999.6773248836</v>
      </c>
      <c r="R72" s="13">
        <f>$I$20*$R$20</f>
        <v>231403.24093845332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2029204.6153855661</v>
      </c>
      <c r="Y72" s="13">
        <f>$I$20*$Y$20</f>
        <v>0</v>
      </c>
      <c r="Z72" s="13">
        <f>$I$20*$Z$20</f>
        <v>0</v>
      </c>
      <c r="AA72" s="13">
        <f>$I$20*$AA$20</f>
        <v>4040800.3630176354</v>
      </c>
      <c r="AB72" s="13">
        <f ca="1">$I$20*$AB$20</f>
        <v>0</v>
      </c>
      <c r="AC72" s="13">
        <f ca="1">$I$20*$AC$20</f>
        <v>0</v>
      </c>
      <c r="AD72" s="13">
        <f>$I$20*$AD$20</f>
        <v>478908.77316983923</v>
      </c>
      <c r="AE72" s="13">
        <f>$I$20*$AE$20</f>
        <v>0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35871.592923392513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933428.37509671901</v>
      </c>
      <c r="AO72" s="13">
        <f>$I$20*$AO$20</f>
        <v>145524.07172328973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1888487.7442954513</v>
      </c>
      <c r="AV72" s="13">
        <f>$I$20*$AV$20</f>
        <v>0</v>
      </c>
      <c r="AW72" s="13">
        <f>$I$20*$AW$20</f>
        <v>0</v>
      </c>
      <c r="AX72" s="13">
        <f>$I$20*$AX$20</f>
        <v>3528861.247918156</v>
      </c>
      <c r="AY72" s="13">
        <f>$I$20*$AY$20</f>
        <v>0</v>
      </c>
      <c r="AZ72" s="13">
        <f>$I$20*$AZ$20</f>
        <v>0</v>
      </c>
      <c r="BA72" s="13">
        <f>$I$20*$BA$20</f>
        <v>537027.87697410851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3">
      <c r="A73" s="9" t="s">
        <v>22</v>
      </c>
      <c r="B73" s="9" t="s">
        <v>849</v>
      </c>
      <c r="C73" s="9" t="s">
        <v>850</v>
      </c>
      <c r="D73" s="9" t="s">
        <v>855</v>
      </c>
      <c r="E73" s="9" t="s">
        <v>856</v>
      </c>
      <c r="F73" s="9" t="s">
        <v>857</v>
      </c>
      <c r="G73" s="9" t="s">
        <v>858</v>
      </c>
      <c r="L73" s="13">
        <f>$I$21*$L$21</f>
        <v>0</v>
      </c>
      <c r="M73" s="13">
        <f>$I$21*$M$21</f>
        <v>78.495391364338246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3833.1705137645472</v>
      </c>
      <c r="Y73" s="13">
        <f>$I$21*$Y$21</f>
        <v>0</v>
      </c>
      <c r="Z73" s="13">
        <f>$I$21*$Z$21</f>
        <v>0</v>
      </c>
      <c r="AA73" s="13">
        <f>$I$21*$AA$21</f>
        <v>7633.0778503503561</v>
      </c>
      <c r="AB73" s="13">
        <f ca="1">$I$21*$AB$21</f>
        <v>0</v>
      </c>
      <c r="AC73" s="13">
        <f ca="1">$I$21*$AC$21</f>
        <v>0</v>
      </c>
      <c r="AD73" s="13">
        <f>$I$21*$AD$21</f>
        <v>904.65937943324434</v>
      </c>
      <c r="AE73" s="13">
        <f>$I$21*$AE$21</f>
        <v>0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67.761491982210401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3567.3561365636915</v>
      </c>
      <c r="AV73" s="13">
        <f>$I$21*$AV$21</f>
        <v>0</v>
      </c>
      <c r="AW73" s="13">
        <f>$I$21*$AW$21</f>
        <v>0</v>
      </c>
      <c r="AX73" s="13">
        <f>$I$21*$AX$21</f>
        <v>6666.0241062560644</v>
      </c>
      <c r="AY73" s="13">
        <f>$I$21*$AY$21</f>
        <v>0</v>
      </c>
      <c r="AZ73" s="13">
        <f>$I$21*$AZ$21</f>
        <v>0</v>
      </c>
      <c r="BA73" s="13">
        <f>$I$21*$BA$21</f>
        <v>1014.4464523088961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3">
      <c r="A74" s="9" t="s">
        <v>22</v>
      </c>
      <c r="B74" s="9" t="s">
        <v>849</v>
      </c>
      <c r="C74" s="9" t="s">
        <v>850</v>
      </c>
      <c r="D74" s="9" t="s">
        <v>859</v>
      </c>
      <c r="E74" s="9" t="s">
        <v>860</v>
      </c>
      <c r="F74" s="9" t="s">
        <v>861</v>
      </c>
      <c r="G74" s="9" t="s">
        <v>862</v>
      </c>
      <c r="L74" s="13">
        <f>$I$22*$L$22</f>
        <v>0</v>
      </c>
      <c r="M74" s="13">
        <f>$I$22*$M$22</f>
        <v>269.20360763561894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13146.037150108479</v>
      </c>
      <c r="Y74" s="13">
        <f>$I$22*$Y$22</f>
        <v>0</v>
      </c>
      <c r="Z74" s="13">
        <f>$I$22*$Z$22</f>
        <v>0</v>
      </c>
      <c r="AA74" s="13">
        <f>$I$22*$AA$22</f>
        <v>26177.996681871489</v>
      </c>
      <c r="AB74" s="13">
        <f ca="1">$I$22*$AB$22</f>
        <v>0</v>
      </c>
      <c r="AC74" s="13">
        <f ca="1">$I$22*$AC$22</f>
        <v>0</v>
      </c>
      <c r="AD74" s="13">
        <f>$I$22*$AD$22</f>
        <v>3102.5715572834602</v>
      </c>
      <c r="AE74" s="13">
        <f>$I$22*$AE$22</f>
        <v>0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232.39119881209464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12234.414339391509</v>
      </c>
      <c r="AV74" s="13">
        <f>$I$22*$AV$22</f>
        <v>0</v>
      </c>
      <c r="AW74" s="13">
        <f>$I$22*$AW$22</f>
        <v>0</v>
      </c>
      <c r="AX74" s="13">
        <f>$I$22*$AX$22</f>
        <v>22861.440739378395</v>
      </c>
      <c r="AY74" s="13">
        <f>$I$22*$AY$22</f>
        <v>0</v>
      </c>
      <c r="AZ74" s="13">
        <f>$I$22*$AZ$22</f>
        <v>0</v>
      </c>
      <c r="BA74" s="13">
        <f>$I$22*$BA$22</f>
        <v>3479.0914468741612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3">
      <c r="A75" s="9" t="s">
        <v>22</v>
      </c>
      <c r="B75" s="9" t="s">
        <v>849</v>
      </c>
      <c r="C75" s="9" t="s">
        <v>850</v>
      </c>
      <c r="D75" s="9" t="s">
        <v>863</v>
      </c>
      <c r="E75" s="9" t="s">
        <v>864</v>
      </c>
      <c r="F75" s="9" t="s">
        <v>865</v>
      </c>
      <c r="G75" s="9" t="s">
        <v>866</v>
      </c>
      <c r="L75" s="13">
        <f>$I$23*$L$23</f>
        <v>0</v>
      </c>
      <c r="M75" s="13">
        <f>$I$23*$M$23</f>
        <v>408.06105157297361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19926.87167384331</v>
      </c>
      <c r="Y75" s="13">
        <f>$I$23*$Y$23</f>
        <v>0</v>
      </c>
      <c r="Z75" s="13">
        <f>$I$23*$Z$23</f>
        <v>0</v>
      </c>
      <c r="AA75" s="13">
        <f>$I$23*$AA$23</f>
        <v>39680.823551730537</v>
      </c>
      <c r="AB75" s="13">
        <f ca="1">$I$23*$AB$23</f>
        <v>0</v>
      </c>
      <c r="AC75" s="13">
        <f ca="1">$I$23*$AC$23</f>
        <v>0</v>
      </c>
      <c r="AD75" s="13">
        <f>$I$23*$AD$23</f>
        <v>4702.9035879754483</v>
      </c>
      <c r="AE75" s="13">
        <f>$I$23*$AE$23</f>
        <v>0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352.26049827654663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18545.02628905711</v>
      </c>
      <c r="AV75" s="13">
        <f>$I$23*$AV$23</f>
        <v>0</v>
      </c>
      <c r="AW75" s="13">
        <f>$I$23*$AW$23</f>
        <v>0</v>
      </c>
      <c r="AX75" s="13">
        <f>$I$23*$AX$23</f>
        <v>34653.560665543126</v>
      </c>
      <c r="AY75" s="13">
        <f>$I$23*$AY$23</f>
        <v>0</v>
      </c>
      <c r="AZ75" s="13">
        <f>$I$23*$AZ$23</f>
        <v>0</v>
      </c>
      <c r="BA75" s="13">
        <f>$I$23*$BA$23</f>
        <v>5273.6355459679562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3">
      <c r="A76" s="9" t="s">
        <v>22</v>
      </c>
      <c r="B76" s="9" t="s">
        <v>849</v>
      </c>
      <c r="C76" s="9" t="s">
        <v>850</v>
      </c>
      <c r="D76" s="9" t="s">
        <v>867</v>
      </c>
      <c r="E76" s="9" t="s">
        <v>868</v>
      </c>
      <c r="F76" s="9" t="s">
        <v>869</v>
      </c>
      <c r="G76" s="9" t="s">
        <v>870</v>
      </c>
      <c r="L76" s="13">
        <f>$I$24*$L$24</f>
        <v>0</v>
      </c>
      <c r="M76" s="13">
        <f>$I$24*$M$24</f>
        <v>186.63991909507945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9114.1992177095817</v>
      </c>
      <c r="Y76" s="13">
        <f>$I$24*$Y$24</f>
        <v>0</v>
      </c>
      <c r="Z76" s="13">
        <f>$I$24*$Z$24</f>
        <v>0</v>
      </c>
      <c r="AA76" s="13">
        <f>$I$24*$AA$24</f>
        <v>18149.307974315921</v>
      </c>
      <c r="AB76" s="13">
        <f ca="1">$I$24*$AB$24</f>
        <v>0</v>
      </c>
      <c r="AC76" s="13">
        <f ca="1">$I$24*$AC$24</f>
        <v>0</v>
      </c>
      <c r="AD76" s="13">
        <f>$I$24*$AD$24</f>
        <v>2151.0250532075797</v>
      </c>
      <c r="AE76" s="13">
        <f>$I$24*$AE$24</f>
        <v>0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161.11773139164632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8482.1675405273509</v>
      </c>
      <c r="AV76" s="13">
        <f>$I$24*$AV$24</f>
        <v>0</v>
      </c>
      <c r="AW76" s="13">
        <f>$I$24*$AW$24</f>
        <v>0</v>
      </c>
      <c r="AX76" s="13">
        <f>$I$24*$AX$24</f>
        <v>15849.926705922715</v>
      </c>
      <c r="AY76" s="13">
        <f>$I$24*$AY$24</f>
        <v>0</v>
      </c>
      <c r="AZ76" s="13">
        <f>$I$24*$AZ$24</f>
        <v>0</v>
      </c>
      <c r="BA76" s="13">
        <f>$I$24*$BA$24</f>
        <v>2412.06777231563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3">
      <c r="A77" s="9" t="s">
        <v>22</v>
      </c>
      <c r="B77" s="9" t="s">
        <v>871</v>
      </c>
      <c r="C77" s="9" t="s">
        <v>872</v>
      </c>
      <c r="D77" s="9" t="s">
        <v>873</v>
      </c>
      <c r="E77" s="9" t="s">
        <v>874</v>
      </c>
      <c r="F77" s="9" t="s">
        <v>875</v>
      </c>
      <c r="G77" s="9" t="s">
        <v>876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3">
      <c r="A78" s="9" t="s">
        <v>22</v>
      </c>
      <c r="B78" s="9" t="s">
        <v>871</v>
      </c>
      <c r="C78" s="9" t="s">
        <v>872</v>
      </c>
      <c r="D78" s="9" t="s">
        <v>877</v>
      </c>
      <c r="E78" s="9" t="s">
        <v>878</v>
      </c>
      <c r="F78" s="9" t="s">
        <v>879</v>
      </c>
      <c r="G78" s="9" t="s">
        <v>880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3">
      <c r="A79" s="9" t="s">
        <v>22</v>
      </c>
      <c r="B79" s="9" t="s">
        <v>871</v>
      </c>
      <c r="C79" s="9" t="s">
        <v>872</v>
      </c>
      <c r="D79" s="9" t="s">
        <v>881</v>
      </c>
      <c r="E79" s="9" t="s">
        <v>882</v>
      </c>
      <c r="F79" s="9" t="s">
        <v>883</v>
      </c>
      <c r="G79" s="9" t="s">
        <v>884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3">
      <c r="A80" s="9" t="s">
        <v>22</v>
      </c>
      <c r="B80" s="9" t="s">
        <v>871</v>
      </c>
      <c r="C80" s="9" t="s">
        <v>872</v>
      </c>
      <c r="D80" s="9" t="s">
        <v>885</v>
      </c>
      <c r="E80" s="9" t="s">
        <v>886</v>
      </c>
      <c r="F80" s="9" t="s">
        <v>887</v>
      </c>
      <c r="G80" s="9" t="s">
        <v>888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3">
      <c r="A81" s="9" t="s">
        <v>22</v>
      </c>
      <c r="B81" s="9" t="s">
        <v>871</v>
      </c>
      <c r="C81" s="9" t="s">
        <v>872</v>
      </c>
      <c r="D81" s="9" t="s">
        <v>889</v>
      </c>
      <c r="E81" s="9" t="s">
        <v>890</v>
      </c>
      <c r="F81" s="9" t="s">
        <v>891</v>
      </c>
      <c r="G81" s="9" t="s">
        <v>892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3">
      <c r="A82" s="9" t="s">
        <v>43</v>
      </c>
      <c r="B82" s="9" t="s">
        <v>893</v>
      </c>
      <c r="C82" s="9" t="s">
        <v>894</v>
      </c>
      <c r="D82" s="9" t="s">
        <v>895</v>
      </c>
      <c r="E82" s="9" t="s">
        <v>896</v>
      </c>
      <c r="F82" s="9" t="s">
        <v>897</v>
      </c>
      <c r="G82" s="9" t="s">
        <v>898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3">
      <c r="A83" s="9" t="s">
        <v>43</v>
      </c>
      <c r="B83" s="9" t="s">
        <v>893</v>
      </c>
      <c r="C83" s="9" t="s">
        <v>894</v>
      </c>
      <c r="D83" s="9" t="s">
        <v>895</v>
      </c>
      <c r="E83" s="9" t="s">
        <v>896</v>
      </c>
      <c r="F83" s="9" t="s">
        <v>897</v>
      </c>
      <c r="G83" s="9" t="s">
        <v>899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3">
      <c r="A84" s="9" t="s">
        <v>43</v>
      </c>
      <c r="B84" s="9" t="s">
        <v>893</v>
      </c>
      <c r="C84" s="9" t="s">
        <v>894</v>
      </c>
      <c r="D84" s="9" t="s">
        <v>895</v>
      </c>
      <c r="E84" s="9" t="s">
        <v>896</v>
      </c>
      <c r="F84" s="9" t="s">
        <v>897</v>
      </c>
      <c r="G84" s="9" t="s">
        <v>900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3">
      <c r="A85" s="9" t="s">
        <v>43</v>
      </c>
      <c r="B85" s="9" t="s">
        <v>901</v>
      </c>
      <c r="C85" s="9" t="s">
        <v>902</v>
      </c>
      <c r="D85" s="9" t="s">
        <v>903</v>
      </c>
      <c r="E85" s="9" t="s">
        <v>904</v>
      </c>
      <c r="F85" s="9" t="s">
        <v>905</v>
      </c>
      <c r="G85" s="9" t="s">
        <v>906</v>
      </c>
      <c r="L85" s="13">
        <f>$I$33*$L$33</f>
        <v>0</v>
      </c>
      <c r="M85" s="13">
        <f>$I$33*$M$33</f>
        <v>47484.430631229538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1674082.6756730757</v>
      </c>
      <c r="R85" s="13">
        <f>$I$33*$R$33</f>
        <v>264428.83418039052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2318810.266372147</v>
      </c>
      <c r="Y85" s="13">
        <f>$I$33*$Y$33</f>
        <v>0</v>
      </c>
      <c r="Z85" s="13">
        <f>$I$33*$Z$33</f>
        <v>0</v>
      </c>
      <c r="AA85" s="13">
        <f>$I$33*$AA$33</f>
        <v>4617498.548486812</v>
      </c>
      <c r="AB85" s="13">
        <f ca="1">$I$33*$AB$33</f>
        <v>0</v>
      </c>
      <c r="AC85" s="13">
        <f ca="1">$I$33*$AC$33</f>
        <v>0</v>
      </c>
      <c r="AD85" s="13">
        <f>$I$33*$AD$33</f>
        <v>547258.05937067058</v>
      </c>
      <c r="AE85" s="13">
        <f>$I$33*$AE$33</f>
        <v>0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38374.68769880911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998562.35712868068</v>
      </c>
      <c r="AO85" s="13">
        <f>$I$33*$AO$33</f>
        <v>155678.64011410042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2020265.1040653144</v>
      </c>
      <c r="AV85" s="13">
        <f>$I$33*$AV$33</f>
        <v>0</v>
      </c>
      <c r="AW85" s="13">
        <f>$I$33*$AW$33</f>
        <v>0</v>
      </c>
      <c r="AX85" s="13">
        <f>$I$33*$AX$33</f>
        <v>3775102.7285152953</v>
      </c>
      <c r="AY85" s="13">
        <f>$I$33*$AY$33</f>
        <v>0</v>
      </c>
      <c r="AZ85" s="13">
        <f>$I$33*$AZ$33</f>
        <v>0</v>
      </c>
      <c r="BA85" s="13">
        <f>$I$33*$BA$33</f>
        <v>574501.3082760768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3">
      <c r="A86" s="9" t="s">
        <v>43</v>
      </c>
      <c r="B86" s="9" t="s">
        <v>893</v>
      </c>
      <c r="C86" s="9" t="s">
        <v>894</v>
      </c>
      <c r="D86" s="9" t="s">
        <v>907</v>
      </c>
      <c r="E86" s="9" t="s">
        <v>908</v>
      </c>
      <c r="F86" s="9" t="s">
        <v>909</v>
      </c>
      <c r="G86" s="9" t="s">
        <v>910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3">
      <c r="A87" s="9" t="s">
        <v>43</v>
      </c>
      <c r="B87" s="9" t="s">
        <v>893</v>
      </c>
      <c r="C87" s="9" t="s">
        <v>894</v>
      </c>
      <c r="D87" s="9" t="s">
        <v>907</v>
      </c>
      <c r="E87" s="9" t="s">
        <v>908</v>
      </c>
      <c r="F87" s="9" t="s">
        <v>909</v>
      </c>
      <c r="G87" s="9" t="s">
        <v>911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3">
      <c r="A88" s="9" t="s">
        <v>43</v>
      </c>
      <c r="B88" s="9" t="s">
        <v>893</v>
      </c>
      <c r="C88" s="9" t="s">
        <v>894</v>
      </c>
      <c r="D88" s="9" t="s">
        <v>907</v>
      </c>
      <c r="E88" s="9" t="s">
        <v>908</v>
      </c>
      <c r="F88" s="9" t="s">
        <v>909</v>
      </c>
      <c r="G88" s="9" t="s">
        <v>912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3">
      <c r="A89" s="9" t="s">
        <v>43</v>
      </c>
      <c r="B89" s="9" t="s">
        <v>901</v>
      </c>
      <c r="C89" s="9" t="s">
        <v>902</v>
      </c>
      <c r="D89" s="9" t="s">
        <v>913</v>
      </c>
      <c r="E89" s="9" t="s">
        <v>914</v>
      </c>
      <c r="F89" s="9" t="s">
        <v>915</v>
      </c>
      <c r="G89" s="9" t="s">
        <v>916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3">
      <c r="A90" s="9" t="s">
        <v>43</v>
      </c>
      <c r="B90" s="9" t="s">
        <v>893</v>
      </c>
      <c r="C90" s="9" t="s">
        <v>894</v>
      </c>
      <c r="D90" s="9" t="s">
        <v>917</v>
      </c>
      <c r="E90" s="9" t="s">
        <v>918</v>
      </c>
      <c r="F90" s="9" t="s">
        <v>919</v>
      </c>
      <c r="G90" s="9" t="s">
        <v>920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3">
      <c r="A91" s="9" t="s">
        <v>43</v>
      </c>
      <c r="B91" s="9" t="s">
        <v>893</v>
      </c>
      <c r="C91" s="9" t="s">
        <v>894</v>
      </c>
      <c r="D91" s="9" t="s">
        <v>917</v>
      </c>
      <c r="E91" s="9" t="s">
        <v>918</v>
      </c>
      <c r="F91" s="9" t="s">
        <v>919</v>
      </c>
      <c r="G91" s="9" t="s">
        <v>921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3">
      <c r="A92" s="9" t="s">
        <v>43</v>
      </c>
      <c r="B92" s="9" t="s">
        <v>893</v>
      </c>
      <c r="C92" s="9" t="s">
        <v>894</v>
      </c>
      <c r="D92" s="9" t="s">
        <v>917</v>
      </c>
      <c r="E92" s="9" t="s">
        <v>918</v>
      </c>
      <c r="F92" s="9" t="s">
        <v>919</v>
      </c>
      <c r="G92" s="9" t="s">
        <v>922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3">
      <c r="A93" s="9" t="s">
        <v>43</v>
      </c>
      <c r="B93" s="9" t="s">
        <v>901</v>
      </c>
      <c r="C93" s="9" t="s">
        <v>902</v>
      </c>
      <c r="D93" s="9" t="s">
        <v>923</v>
      </c>
      <c r="E93" s="9" t="s">
        <v>924</v>
      </c>
      <c r="F93" s="9" t="s">
        <v>925</v>
      </c>
      <c r="G93" s="9" t="s">
        <v>926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3">
      <c r="A94" s="9" t="s">
        <v>43</v>
      </c>
      <c r="B94" s="9" t="s">
        <v>927</v>
      </c>
      <c r="C94" s="9" t="s">
        <v>928</v>
      </c>
      <c r="D94" s="9" t="s">
        <v>929</v>
      </c>
      <c r="E94" s="9" t="s">
        <v>930</v>
      </c>
      <c r="F94" s="9" t="s">
        <v>931</v>
      </c>
      <c r="G94" s="9" t="s">
        <v>932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3">
      <c r="A95" s="9" t="s">
        <v>43</v>
      </c>
      <c r="B95" s="9" t="s">
        <v>927</v>
      </c>
      <c r="C95" s="9" t="s">
        <v>928</v>
      </c>
      <c r="D95" s="9" t="s">
        <v>933</v>
      </c>
      <c r="E95" s="9" t="s">
        <v>934</v>
      </c>
      <c r="F95" s="9" t="s">
        <v>935</v>
      </c>
      <c r="G95" s="9" t="s">
        <v>936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3">
      <c r="A96" s="9" t="s">
        <v>43</v>
      </c>
      <c r="B96" s="9" t="s">
        <v>927</v>
      </c>
      <c r="C96" s="9" t="s">
        <v>928</v>
      </c>
      <c r="D96" s="9" t="s">
        <v>937</v>
      </c>
      <c r="E96" s="9" t="s">
        <v>938</v>
      </c>
      <c r="F96" s="9" t="s">
        <v>939</v>
      </c>
      <c r="G96" s="9" t="s">
        <v>940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3">
      <c r="A97" s="9" t="s">
        <v>35</v>
      </c>
      <c r="B97" s="9" t="s">
        <v>941</v>
      </c>
      <c r="C97" s="9" t="s">
        <v>942</v>
      </c>
      <c r="D97" s="9" t="s">
        <v>943</v>
      </c>
      <c r="E97" s="9" t="s">
        <v>944</v>
      </c>
      <c r="F97" s="9" t="s">
        <v>945</v>
      </c>
      <c r="G97" s="9" t="s">
        <v>946</v>
      </c>
      <c r="L97" s="13">
        <f>$I$45*$L$45</f>
        <v>0</v>
      </c>
      <c r="M97" s="13">
        <f>$I$45*$M$45</f>
        <v>1.942429961564303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68.481148539337937</v>
      </c>
      <c r="R97" s="13">
        <f>$I$45*$R$45</f>
        <v>10.816903211969917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327.33113459881395</v>
      </c>
      <c r="Y97" s="13">
        <f>$I$45*$Y$45</f>
        <v>0</v>
      </c>
      <c r="Z97" s="13">
        <f>$I$45*$Z$45</f>
        <v>0</v>
      </c>
      <c r="AA97" s="13">
        <f>$I$45*$AA$45</f>
        <v>651.65810482191864</v>
      </c>
      <c r="AB97" s="13">
        <f ca="1">$I$45*$AB$45</f>
        <v>0</v>
      </c>
      <c r="AC97" s="13">
        <f ca="1">$I$45*$AC$45</f>
        <v>0</v>
      </c>
      <c r="AD97" s="13">
        <f>$I$45*$AD$45</f>
        <v>22.3865051575454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1.6768112111909619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43.632942856720938</v>
      </c>
      <c r="AO97" s="13">
        <f>$I$45*$AO$45</f>
        <v>6.8024967690978215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304.6320538665542</v>
      </c>
      <c r="AV97" s="13">
        <f>$I$45*$AV$45</f>
        <v>0</v>
      </c>
      <c r="AW97" s="13">
        <f>$I$45*$AW$45</f>
        <v>0</v>
      </c>
      <c r="AX97" s="13">
        <f>$I$45*$AX$45</f>
        <v>569.09792986014054</v>
      </c>
      <c r="AY97" s="13">
        <f>$I$45*$AY$45</f>
        <v>0</v>
      </c>
      <c r="AZ97" s="13">
        <f>$I$45*$AZ$45</f>
        <v>0</v>
      </c>
      <c r="BA97" s="13">
        <f>$I$45*$BA$45</f>
        <v>25.103272295583981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3">
      <c r="A98" s="9" t="s">
        <v>35</v>
      </c>
      <c r="B98" s="9" t="s">
        <v>941</v>
      </c>
      <c r="C98" s="9" t="s">
        <v>942</v>
      </c>
      <c r="D98" s="9" t="s">
        <v>943</v>
      </c>
      <c r="E98" s="9" t="s">
        <v>944</v>
      </c>
      <c r="F98" s="9" t="s">
        <v>945</v>
      </c>
      <c r="G98" s="9" t="s">
        <v>947</v>
      </c>
      <c r="L98" s="13">
        <f>$I$46*$L$46</f>
        <v>0</v>
      </c>
      <c r="M98" s="13">
        <f>$I$46*$M$46</f>
        <v>1.1899336359716977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41.951588314312914</v>
      </c>
      <c r="R98" s="13">
        <f>$I$46*$R$46</f>
        <v>6.6264407076008736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120.29099381123957</v>
      </c>
      <c r="Y98" s="13">
        <f>$I$46*$Y$46</f>
        <v>0</v>
      </c>
      <c r="Z98" s="13">
        <f>$I$46*$Z$46</f>
        <v>0</v>
      </c>
      <c r="AA98" s="13">
        <f>$I$46*$AA$46</f>
        <v>239.52363507234054</v>
      </c>
      <c r="AB98" s="13">
        <f ca="1">$I$46*$AB$46</f>
        <v>0</v>
      </c>
      <c r="AC98" s="13">
        <f ca="1">$I$46*$AC$46</f>
        <v>0</v>
      </c>
      <c r="AD98" s="13">
        <f>$I$46*$AD$46</f>
        <v>13.713985063000333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1.0272154470700663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26.729564189707059</v>
      </c>
      <c r="AO98" s="13">
        <f>$I$46*$AO$46</f>
        <v>4.1672131682006759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111.94929337613222</v>
      </c>
      <c r="AV98" s="13">
        <f>$I$46*$AV$46</f>
        <v>0</v>
      </c>
      <c r="AW98" s="13">
        <f>$I$46*$AW$46</f>
        <v>0</v>
      </c>
      <c r="AX98" s="13">
        <f>$I$46*$AX$46</f>
        <v>209.17779497262148</v>
      </c>
      <c r="AY98" s="13">
        <f>$I$46*$AY$46</f>
        <v>0</v>
      </c>
      <c r="AZ98" s="13">
        <f>$I$46*$AZ$46</f>
        <v>0</v>
      </c>
      <c r="BA98" s="13">
        <f>$I$46*$BA$46</f>
        <v>15.378278068474367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3">
      <c r="A99" s="9" t="s">
        <v>35</v>
      </c>
      <c r="B99" s="9" t="s">
        <v>941</v>
      </c>
      <c r="C99" s="9" t="s">
        <v>942</v>
      </c>
      <c r="D99" s="9" t="s">
        <v>943</v>
      </c>
      <c r="E99" s="9" t="s">
        <v>944</v>
      </c>
      <c r="F99" s="9" t="s">
        <v>945</v>
      </c>
      <c r="G99" s="9" t="s">
        <v>948</v>
      </c>
      <c r="L99" s="13">
        <f>$I$47*$L$47</f>
        <v>0</v>
      </c>
      <c r="M99" s="13">
        <f>$I$47*$M$47</f>
        <v>16.867374384736671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594.66605930004187</v>
      </c>
      <c r="R99" s="13">
        <f>$I$47*$R$47</f>
        <v>93.930159526998835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568.24147168736749</v>
      </c>
      <c r="Y99" s="13">
        <f>$I$47*$Y$47</f>
        <v>0</v>
      </c>
      <c r="Z99" s="13">
        <f>$I$47*$Z$47</f>
        <v>0</v>
      </c>
      <c r="AA99" s="13">
        <f>$I$47*$AA$47</f>
        <v>1131.7548467812078</v>
      </c>
      <c r="AB99" s="13">
        <f ca="1">$I$47*$AB$47</f>
        <v>0</v>
      </c>
      <c r="AC99" s="13">
        <f ca="1">$I$47*$AC$47</f>
        <v>0</v>
      </c>
      <c r="AD99" s="13">
        <f>$I$47*$AD$47</f>
        <v>194.39648848603102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14.560835155623394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378.89303461908617</v>
      </c>
      <c r="AO99" s="13">
        <f>$I$47*$AO$47</f>
        <v>59.070474624954009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528.83628072763304</v>
      </c>
      <c r="AV99" s="13">
        <f>$I$47*$AV$47</f>
        <v>0</v>
      </c>
      <c r="AW99" s="13">
        <f>$I$47*$AW$47</f>
        <v>0</v>
      </c>
      <c r="AX99" s="13">
        <f>$I$47*$AX$47</f>
        <v>988.3699924675268</v>
      </c>
      <c r="AY99" s="13">
        <f>$I$47*$AY$47</f>
        <v>0</v>
      </c>
      <c r="AZ99" s="13">
        <f>$I$47*$AZ$47</f>
        <v>0</v>
      </c>
      <c r="BA99" s="13">
        <f>$I$47*$BA$47</f>
        <v>217.98793288310057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3">
      <c r="A100" s="9" t="s">
        <v>35</v>
      </c>
      <c r="B100" s="9" t="s">
        <v>949</v>
      </c>
      <c r="C100" s="9" t="s">
        <v>950</v>
      </c>
      <c r="D100" s="9" t="s">
        <v>951</v>
      </c>
      <c r="E100" s="9" t="s">
        <v>952</v>
      </c>
      <c r="F100" s="9" t="s">
        <v>953</v>
      </c>
      <c r="G100" s="9" t="s">
        <v>954</v>
      </c>
      <c r="L100" s="13">
        <f>$I$48*$L$48</f>
        <v>0</v>
      </c>
      <c r="M100" s="13">
        <f>$I$48*$M$48</f>
        <v>7075.5979674585897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249453.04850217051</v>
      </c>
      <c r="R100" s="13">
        <f>$I$48*$R$48</f>
        <v>39402.222934809768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345523.13231011655</v>
      </c>
      <c r="Y100" s="13">
        <f>$I$48*$Y$48</f>
        <v>0</v>
      </c>
      <c r="Z100" s="13">
        <f>$I$48*$Z$48</f>
        <v>0</v>
      </c>
      <c r="AA100" s="13">
        <f>$I$48*$AA$48</f>
        <v>688047.91191765619</v>
      </c>
      <c r="AB100" s="13">
        <f ca="1">$I$48*$AB$48</f>
        <v>0</v>
      </c>
      <c r="AC100" s="13">
        <f ca="1">$I$48*$AC$48</f>
        <v>0</v>
      </c>
      <c r="AD100" s="13">
        <f>$I$48*$AD$48</f>
        <v>81546.26603044488</v>
      </c>
      <c r="AE100" s="13">
        <f>$I$48*$AE$48</f>
        <v>0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6108.0410786907942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158939.66212435358</v>
      </c>
      <c r="AO100" s="13">
        <f>$I$48*$AO$48</f>
        <v>24779.134005073774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321562.54514247063</v>
      </c>
      <c r="AV100" s="13">
        <f>$I$48*$AV$48</f>
        <v>0</v>
      </c>
      <c r="AW100" s="13">
        <f>$I$48*$AW$48</f>
        <v>0</v>
      </c>
      <c r="AX100" s="13">
        <f>$I$48*$AX$48</f>
        <v>600877.399264534</v>
      </c>
      <c r="AY100" s="13">
        <f>$I$48*$AY$48</f>
        <v>0</v>
      </c>
      <c r="AZ100" s="13">
        <f>$I$48*$AZ$48</f>
        <v>0</v>
      </c>
      <c r="BA100" s="13">
        <f>$I$48*$BA$48</f>
        <v>91442.505493557008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3">
      <c r="A101" s="9" t="s">
        <v>35</v>
      </c>
      <c r="B101" s="9" t="s">
        <v>955</v>
      </c>
      <c r="C101" s="9" t="s">
        <v>956</v>
      </c>
      <c r="D101" s="9" t="s">
        <v>957</v>
      </c>
      <c r="E101" s="9" t="s">
        <v>958</v>
      </c>
      <c r="F101" s="9" t="s">
        <v>959</v>
      </c>
      <c r="G101" s="9" t="s">
        <v>960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3">
      <c r="A102" s="9" t="s">
        <v>46</v>
      </c>
      <c r="B102" s="9" t="s">
        <v>961</v>
      </c>
      <c r="C102" s="9" t="s">
        <v>962</v>
      </c>
      <c r="D102" s="9" t="s">
        <v>963</v>
      </c>
      <c r="E102" s="9" t="s">
        <v>964</v>
      </c>
      <c r="F102" s="9" t="s">
        <v>965</v>
      </c>
      <c r="G102" s="9" t="s">
        <v>966</v>
      </c>
      <c r="L102" s="13">
        <f>$I$50*$L$50</f>
        <v>0</v>
      </c>
      <c r="M102" s="13">
        <f>$I$50*$M$50</f>
        <v>3573.5640404914352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125987.43569351049</v>
      </c>
      <c r="R102" s="13">
        <f>$I$50*$R$50</f>
        <v>19900.278060292039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174508.08348073706</v>
      </c>
      <c r="Y102" s="13">
        <f>$I$50*$Y$50</f>
        <v>0</v>
      </c>
      <c r="Z102" s="13">
        <f>$I$50*$Z$50</f>
        <v>0</v>
      </c>
      <c r="AA102" s="13">
        <f>$I$50*$AA$50</f>
        <v>347501.83482334</v>
      </c>
      <c r="AB102" s="13">
        <f ca="1">$I$50*$AB$50</f>
        <v>0</v>
      </c>
      <c r="AC102" s="13">
        <f ca="1">$I$50*$AC$50</f>
        <v>0</v>
      </c>
      <c r="AD102" s="13">
        <f>$I$50*$AD$50</f>
        <v>41185.325291653753</v>
      </c>
      <c r="AE102" s="13">
        <f>$I$50*$AE$50</f>
        <v>0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3084.8948819648585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80273.224084756104</v>
      </c>
      <c r="AO102" s="13">
        <f>$I$50*$AO$50</f>
        <v>12514.818202263605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162406.67620955585</v>
      </c>
      <c r="AV102" s="13">
        <f>$I$50*$AV$50</f>
        <v>0</v>
      </c>
      <c r="AW102" s="13">
        <f>$I$50*$AW$50</f>
        <v>0</v>
      </c>
      <c r="AX102" s="13">
        <f>$I$50*$AX$50</f>
        <v>303475.9573157329</v>
      </c>
      <c r="AY102" s="13">
        <f>$I$50*$AY$50</f>
        <v>0</v>
      </c>
      <c r="AZ102" s="13">
        <f>$I$50*$AZ$50</f>
        <v>0</v>
      </c>
      <c r="BA102" s="13">
        <f>$I$50*$BA$50</f>
        <v>46183.467589183354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3">
      <c r="A103" s="9" t="s">
        <v>46</v>
      </c>
      <c r="B103" s="9" t="s">
        <v>961</v>
      </c>
      <c r="C103" s="9" t="s">
        <v>962</v>
      </c>
      <c r="D103" s="9" t="s">
        <v>967</v>
      </c>
      <c r="E103" s="9" t="s">
        <v>968</v>
      </c>
      <c r="F103" s="9" t="s">
        <v>969</v>
      </c>
      <c r="G103" s="9" t="s">
        <v>970</v>
      </c>
      <c r="L103" s="13">
        <f>$I$51*$L$51</f>
        <v>0</v>
      </c>
      <c r="M103" s="13">
        <f>$I$51*$M$51</f>
        <v>2448.5756544363803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86325.518252521753</v>
      </c>
      <c r="R103" s="13">
        <f>$I$51*$R$51</f>
        <v>13635.501091578184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119571.45300088775</v>
      </c>
      <c r="Y103" s="13">
        <f>$I$51*$Y$51</f>
        <v>0</v>
      </c>
      <c r="Z103" s="13">
        <f>$I$51*$Z$51</f>
        <v>0</v>
      </c>
      <c r="AA103" s="13">
        <f>$I$51*$AA$51</f>
        <v>238105.29851408207</v>
      </c>
      <c r="AB103" s="13">
        <f ca="1">$I$51*$AB$51</f>
        <v>0</v>
      </c>
      <c r="AC103" s="13">
        <f ca="1">$I$51*$AC$51</f>
        <v>0</v>
      </c>
      <c r="AD103" s="13">
        <f>$I$51*$AD$51</f>
        <v>28219.834228944743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2113.7437076504107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55002.529679031468</v>
      </c>
      <c r="AO103" s="13">
        <f>$I$51*$AO$51</f>
        <v>8575.0468782828557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111279.67177271118</v>
      </c>
      <c r="AV103" s="13">
        <f>$I$51*$AV$51</f>
        <v>0</v>
      </c>
      <c r="AW103" s="13">
        <f>$I$51*$AW$51</f>
        <v>0</v>
      </c>
      <c r="AX103" s="13">
        <f>$I$51*$AX$51</f>
        <v>207939.14209185142</v>
      </c>
      <c r="AY103" s="13">
        <f>$I$51*$AY$51</f>
        <v>0</v>
      </c>
      <c r="AZ103" s="13">
        <f>$I$51*$AZ$51</f>
        <v>0</v>
      </c>
      <c r="BA103" s="13">
        <f>$I$51*$BA$51</f>
        <v>31644.518775931767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D519-9D4B-4F1E-967F-EE3B7069596B}">
  <dimension ref="A1:AH85"/>
  <sheetViews>
    <sheetView showGridLines="0" topLeftCell="L27" workbookViewId="0">
      <selection activeCell="V43" sqref="V43"/>
    </sheetView>
  </sheetViews>
  <sheetFormatPr defaultRowHeight="11.25" customHeight="1" x14ac:dyDescent="0.3"/>
  <cols>
    <col min="1" max="1" width="9" style="9" bestFit="1" customWidth="1"/>
    <col min="2" max="2" width="26.5546875" style="9" bestFit="1" customWidth="1"/>
    <col min="3" max="3" width="35.5546875" style="9" bestFit="1" customWidth="1"/>
    <col min="4" max="4" width="56.77734375" style="9" bestFit="1" customWidth="1"/>
    <col min="5" max="5" width="65.77734375" style="9" bestFit="1" customWidth="1"/>
    <col min="6" max="6" width="74.88671875" style="9" bestFit="1" customWidth="1"/>
    <col min="7" max="7" width="7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3.77734375" style="9" bestFit="1" customWidth="1"/>
    <col min="13" max="13" width="7" style="9" bestFit="1" customWidth="1"/>
    <col min="14" max="14" width="5.6640625" style="9" bestFit="1" customWidth="1"/>
    <col min="15" max="15" width="10.33203125" style="9" bestFit="1" customWidth="1"/>
    <col min="16" max="16" width="7.6640625" style="9" bestFit="1" customWidth="1"/>
    <col min="17" max="17" width="14.44140625" style="9" bestFit="1" customWidth="1"/>
    <col min="18" max="18" width="5.5546875" style="9" bestFit="1" customWidth="1"/>
    <col min="19" max="19" width="9.77734375" style="9" bestFit="1" customWidth="1"/>
    <col min="20" max="20" width="6.44140625" style="9" bestFit="1" customWidth="1"/>
    <col min="21" max="21" width="10.33203125" style="9" bestFit="1" customWidth="1"/>
    <col min="22" max="22" width="10.5546875" style="9" bestFit="1" customWidth="1"/>
    <col min="23" max="23" width="8.88671875" style="9"/>
    <col min="24" max="24" width="3.77734375" style="9" bestFit="1" customWidth="1"/>
    <col min="25" max="25" width="7" style="9" bestFit="1" customWidth="1"/>
    <col min="26" max="26" width="5.6640625" style="9" bestFit="1" customWidth="1"/>
    <col min="27" max="27" width="10.33203125" style="9" bestFit="1" customWidth="1"/>
    <col min="28" max="28" width="7.6640625" style="9" bestFit="1" customWidth="1"/>
    <col min="29" max="29" width="14.44140625" style="9" bestFit="1" customWidth="1"/>
    <col min="30" max="30" width="5.5546875" style="9" bestFit="1" customWidth="1"/>
    <col min="31" max="31" width="9.77734375" style="9" bestFit="1" customWidth="1"/>
    <col min="32" max="32" width="6.44140625" style="9" bestFit="1" customWidth="1"/>
    <col min="33" max="33" width="10.33203125" style="9" bestFit="1" customWidth="1"/>
    <col min="34" max="34" width="10.5546875" style="9" bestFit="1" customWidth="1"/>
    <col min="35" max="16384" width="8.88671875" style="9"/>
  </cols>
  <sheetData>
    <row r="1" spans="1:34" ht="11.25" customHeight="1" x14ac:dyDescent="0.3">
      <c r="A1" s="100" t="s">
        <v>60</v>
      </c>
      <c r="B1" s="100" t="s">
        <v>61</v>
      </c>
      <c r="C1" s="100" t="s">
        <v>62</v>
      </c>
      <c r="D1" s="100" t="s">
        <v>63</v>
      </c>
      <c r="E1" s="100" t="s">
        <v>64</v>
      </c>
      <c r="F1" s="100" t="s">
        <v>15</v>
      </c>
      <c r="G1" s="100" t="s">
        <v>66</v>
      </c>
      <c r="H1" s="100" t="s">
        <v>67</v>
      </c>
      <c r="I1" s="100" t="s">
        <v>600</v>
      </c>
      <c r="J1" s="84"/>
      <c r="L1" s="101" t="s">
        <v>971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X1" s="101" t="s">
        <v>972</v>
      </c>
      <c r="Y1" s="101"/>
      <c r="Z1" s="101"/>
      <c r="AA1" s="101"/>
      <c r="AB1" s="101"/>
      <c r="AC1" s="101"/>
      <c r="AD1" s="101"/>
      <c r="AE1" s="101"/>
      <c r="AF1" s="101"/>
      <c r="AG1" s="101"/>
      <c r="AH1" s="101"/>
    </row>
    <row r="2" spans="1:34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101" t="s">
        <v>527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X2" s="101" t="s">
        <v>527</v>
      </c>
      <c r="Y2" s="101"/>
      <c r="Z2" s="101"/>
      <c r="AA2" s="101"/>
      <c r="AB2" s="101"/>
      <c r="AC2" s="101"/>
      <c r="AD2" s="101"/>
      <c r="AE2" s="101"/>
      <c r="AF2" s="101"/>
      <c r="AG2" s="101"/>
      <c r="AH2" s="101"/>
    </row>
    <row r="3" spans="1:34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101" t="s">
        <v>500</v>
      </c>
      <c r="M3" s="101"/>
      <c r="N3" s="101"/>
      <c r="O3" s="101"/>
      <c r="P3" s="101"/>
      <c r="Q3" s="24" t="s">
        <v>531</v>
      </c>
      <c r="R3" s="101" t="s">
        <v>509</v>
      </c>
      <c r="S3" s="101"/>
      <c r="T3" s="101"/>
      <c r="U3" s="24" t="s">
        <v>519</v>
      </c>
      <c r="V3" s="24" t="s">
        <v>522</v>
      </c>
      <c r="X3" s="101" t="s">
        <v>500</v>
      </c>
      <c r="Y3" s="101"/>
      <c r="Z3" s="101"/>
      <c r="AA3" s="101"/>
      <c r="AB3" s="101"/>
      <c r="AC3" s="24" t="s">
        <v>531</v>
      </c>
      <c r="AD3" s="101" t="s">
        <v>509</v>
      </c>
      <c r="AE3" s="101"/>
      <c r="AF3" s="101"/>
      <c r="AG3" s="24" t="s">
        <v>519</v>
      </c>
      <c r="AH3" s="24" t="s">
        <v>522</v>
      </c>
    </row>
    <row r="4" spans="1:34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502</v>
      </c>
      <c r="M4" s="24" t="s">
        <v>528</v>
      </c>
      <c r="N4" s="24" t="s">
        <v>529</v>
      </c>
      <c r="O4" s="24" t="s">
        <v>588</v>
      </c>
      <c r="P4" s="24" t="s">
        <v>530</v>
      </c>
      <c r="Q4" s="24" t="s">
        <v>532</v>
      </c>
      <c r="R4" s="24" t="s">
        <v>533</v>
      </c>
      <c r="S4" s="24" t="s">
        <v>534</v>
      </c>
      <c r="T4" s="24" t="s">
        <v>535</v>
      </c>
      <c r="U4" s="24" t="s">
        <v>520</v>
      </c>
      <c r="V4" s="24" t="s">
        <v>536</v>
      </c>
      <c r="X4" s="24" t="s">
        <v>502</v>
      </c>
      <c r="Y4" s="24" t="s">
        <v>528</v>
      </c>
      <c r="Z4" s="24" t="s">
        <v>529</v>
      </c>
      <c r="AA4" s="24" t="s">
        <v>588</v>
      </c>
      <c r="AB4" s="24" t="s">
        <v>530</v>
      </c>
      <c r="AC4" s="24" t="s">
        <v>532</v>
      </c>
      <c r="AD4" s="24" t="s">
        <v>533</v>
      </c>
      <c r="AE4" s="24" t="s">
        <v>534</v>
      </c>
      <c r="AF4" s="24" t="s">
        <v>535</v>
      </c>
      <c r="AG4" s="24" t="s">
        <v>520</v>
      </c>
      <c r="AH4" s="24" t="s">
        <v>536</v>
      </c>
    </row>
    <row r="5" spans="1:34" ht="11.25" customHeight="1" x14ac:dyDescent="0.3">
      <c r="A5" s="99" t="s">
        <v>37</v>
      </c>
      <c r="B5" s="99" t="s">
        <v>69</v>
      </c>
      <c r="C5" s="99" t="s">
        <v>25</v>
      </c>
      <c r="D5" s="99" t="s">
        <v>25</v>
      </c>
      <c r="E5" s="99" t="s">
        <v>25</v>
      </c>
      <c r="F5" s="99" t="s">
        <v>25</v>
      </c>
      <c r="G5" s="23" t="s">
        <v>71</v>
      </c>
      <c r="H5" s="23" t="s">
        <v>70</v>
      </c>
      <c r="I5" s="23">
        <f>'MERCADO TE'!$U$2</f>
        <v>497.70600000000002</v>
      </c>
      <c r="J5" s="15"/>
      <c r="L5" s="20">
        <f>('TE BE'!$L$5+'TE BF'!$L$5+'TE CVA'!$L$5)*1</f>
        <v>0</v>
      </c>
      <c r="M5" s="20">
        <f>('TE BE'!$M$5+'TE BF'!$M$5+'TE CVA'!$M$5)*1</f>
        <v>0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0</v>
      </c>
      <c r="Q5" s="20">
        <f>('TE BE'!$R$5+'TE BF'!$R$5+'TE CVA'!$R$5)*1</f>
        <v>166.7634981586946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0</v>
      </c>
      <c r="V5" s="20">
        <f>('TE BE'!$Z$5+'TE BF'!$Z$5+'TE CVA'!$Z$5)*1</f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185.74428793846701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3">
      <c r="A6" s="99"/>
      <c r="B6" s="99"/>
      <c r="C6" s="99"/>
      <c r="D6" s="99"/>
      <c r="E6" s="99"/>
      <c r="F6" s="99"/>
      <c r="G6" s="23" t="s">
        <v>72</v>
      </c>
      <c r="H6" s="23" t="s">
        <v>70</v>
      </c>
      <c r="I6" s="23">
        <f>'MERCADO TE'!$U$3</f>
        <v>8540.6009999999987</v>
      </c>
      <c r="J6" s="15"/>
      <c r="L6" s="20">
        <f>('TE BE'!$L$6+'TE BF'!$L$6+'TE CVA'!$L$6)*1</f>
        <v>0</v>
      </c>
      <c r="M6" s="20">
        <f>('TE BE'!$M$6+'TE BF'!$M$6+'TE CVA'!$M$6)*1</f>
        <v>0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0</v>
      </c>
      <c r="Q6" s="20">
        <f>('TE BE'!$R$6+'TE BF'!$R$6+'TE CVA'!$R$6)*1</f>
        <v>166.7634981586946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0</v>
      </c>
      <c r="V6" s="20">
        <f>('TE BE'!$Z$6+'TE BF'!$Z$6+'TE CVA'!$Z$6)*1</f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185.74428793846701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3">
      <c r="A7" s="99"/>
      <c r="B7" s="22" t="s">
        <v>73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74</v>
      </c>
      <c r="H7" s="23" t="s">
        <v>70</v>
      </c>
      <c r="I7" s="23">
        <f>'MERCADO TE'!$U$4</f>
        <v>0</v>
      </c>
      <c r="J7" s="15"/>
      <c r="L7" s="20">
        <f>('TE BE'!$L$7+'TE BF'!$L$7+'TE CVA'!$L$7)*1</f>
        <v>0</v>
      </c>
      <c r="M7" s="20">
        <f>('TE BE'!$M$7+'TE BF'!$M$7+'TE CVA'!$M$7)*1</f>
        <v>0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0</v>
      </c>
      <c r="Q7" s="20">
        <f>('TE BE'!$R$7+'TE BF'!$R$7+'TE CVA'!$R$7)*1</f>
        <v>166.7634981586946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0</v>
      </c>
      <c r="V7" s="20">
        <f>('TE BE'!$Z$7+'TE BF'!$Z$7+'TE CVA'!$Z$7)*1</f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3">
      <c r="A8" s="99" t="s">
        <v>22</v>
      </c>
      <c r="B8" s="99" t="s">
        <v>69</v>
      </c>
      <c r="C8" s="99" t="s">
        <v>24</v>
      </c>
      <c r="D8" s="99" t="s">
        <v>24</v>
      </c>
      <c r="E8" s="99" t="s">
        <v>25</v>
      </c>
      <c r="F8" s="99" t="s">
        <v>25</v>
      </c>
      <c r="G8" s="23" t="s">
        <v>71</v>
      </c>
      <c r="H8" s="23" t="s">
        <v>70</v>
      </c>
      <c r="I8" s="23">
        <f>'MERCADO TE'!$U$5</f>
        <v>0.66799999999999993</v>
      </c>
      <c r="J8" s="15"/>
      <c r="L8" s="20">
        <f>('TE BE'!$L$8+'TE BF'!$L$8+'TE CVA'!$L$8)*1</f>
        <v>0</v>
      </c>
      <c r="M8" s="20">
        <f>('TE BE'!$M$8+'TE BF'!$M$8+'TE CVA'!$M$8)*1</f>
        <v>0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0</v>
      </c>
      <c r="Q8" s="20">
        <f>('TE BE'!$R$8+'TE BF'!$R$8+'TE CVA'!$R$8)*1</f>
        <v>166.7634981586946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0</v>
      </c>
      <c r="V8" s="20">
        <f>('TE BE'!$Z$8+'TE BF'!$Z$8+'TE CVA'!$Z$8)*1</f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185.74428793846701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3">
      <c r="A9" s="99"/>
      <c r="B9" s="99"/>
      <c r="C9" s="99"/>
      <c r="D9" s="99"/>
      <c r="E9" s="99"/>
      <c r="F9" s="99"/>
      <c r="G9" s="23" t="s">
        <v>83</v>
      </c>
      <c r="H9" s="23" t="s">
        <v>70</v>
      </c>
      <c r="I9" s="23">
        <f>'MERCADO TE'!$U$6</f>
        <v>0.34</v>
      </c>
      <c r="J9" s="15"/>
      <c r="L9" s="20">
        <f>('TE BE'!$L$9+'TE BF'!$L$9+'TE CVA'!$L$9)*1</f>
        <v>0</v>
      </c>
      <c r="M9" s="20">
        <f>('TE BE'!$M$9+'TE BF'!$M$9+'TE CVA'!$M$9)*1</f>
        <v>0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0</v>
      </c>
      <c r="Q9" s="20">
        <f>('TE BE'!$R$9+'TE BF'!$R$9+'TE CVA'!$R$9)*1</f>
        <v>166.7634981586946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0</v>
      </c>
      <c r="V9" s="20">
        <f>('TE BE'!$Z$9+'TE BF'!$Z$9+'TE CVA'!$Z$9)*1</f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185.74428793846701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3">
      <c r="A10" s="99"/>
      <c r="B10" s="99"/>
      <c r="C10" s="99"/>
      <c r="D10" s="99"/>
      <c r="E10" s="99"/>
      <c r="F10" s="99"/>
      <c r="G10" s="23" t="s">
        <v>72</v>
      </c>
      <c r="H10" s="23" t="s">
        <v>70</v>
      </c>
      <c r="I10" s="23">
        <f>'MERCADO TE'!$U$7</f>
        <v>8.6609999999999996</v>
      </c>
      <c r="J10" s="15"/>
      <c r="L10" s="20">
        <f>('TE BE'!$L$10+'TE BF'!$L$10+'TE CVA'!$L$10)*1</f>
        <v>0</v>
      </c>
      <c r="M10" s="20">
        <f>('TE BE'!$M$10+'TE BF'!$M$10+'TE CVA'!$M$10)*1</f>
        <v>0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0</v>
      </c>
      <c r="Q10" s="20">
        <f>('TE BE'!$R$10+'TE BF'!$R$10+'TE CVA'!$R$10)*1</f>
        <v>166.7634981586946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0</v>
      </c>
      <c r="V10" s="20">
        <f>('TE BE'!$Z$10+'TE BF'!$Z$10+'TE CVA'!$Z$10)*1</f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185.74428793846701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3">
      <c r="A11" s="99"/>
      <c r="B11" s="99" t="s">
        <v>73</v>
      </c>
      <c r="C11" s="99" t="s">
        <v>24</v>
      </c>
      <c r="D11" s="22" t="s">
        <v>24</v>
      </c>
      <c r="E11" s="22" t="s">
        <v>25</v>
      </c>
      <c r="F11" s="22" t="s">
        <v>25</v>
      </c>
      <c r="G11" s="23" t="s">
        <v>74</v>
      </c>
      <c r="H11" s="23" t="s">
        <v>70</v>
      </c>
      <c r="I11" s="23">
        <f>'MERCADO TE'!$U$8</f>
        <v>15958.987000000001</v>
      </c>
      <c r="J11" s="15"/>
      <c r="L11" s="20">
        <f>('TE BE'!$L$11+'TE BF'!$L$11+'TE CVA'!$L$11)*1</f>
        <v>0</v>
      </c>
      <c r="M11" s="20">
        <f>('TE BE'!$M$11+'TE BF'!$M$11+'TE CVA'!$M$11)*1</f>
        <v>0</v>
      </c>
      <c r="N11" s="20">
        <f>('TE BE'!$N$11+'TE BF'!$N$11+'TE CVA'!$N$11)*1</f>
        <v>0</v>
      </c>
      <c r="O11" s="20">
        <f>('TE BE'!$O$11+'TE BF'!$O$11+'TE CVA'!$O$11)*1</f>
        <v>0</v>
      </c>
      <c r="P11" s="20">
        <f>('TE BE'!$P$11+'TE BF'!$P$11+'TE CVA'!$P$11)*1</f>
        <v>0</v>
      </c>
      <c r="Q11" s="20">
        <f>('TE BE'!$R$11+'TE BF'!$R$11+'TE CVA'!$R$11)*1</f>
        <v>166.7634981586946</v>
      </c>
      <c r="R11" s="20">
        <f>('TE BE'!$T$11+'TE BF'!$T$11+'TE CVA'!$T$11)*1</f>
        <v>0</v>
      </c>
      <c r="S11" s="20">
        <f>('TE BE'!$U$11+'TE BF'!$U$11+'TE CVA'!$U$11)*1</f>
        <v>0</v>
      </c>
      <c r="T11" s="20">
        <f>('TE BE'!$V$11+'TE BF'!$V$11+'TE CVA'!$V$11)*1</f>
        <v>0</v>
      </c>
      <c r="U11" s="20">
        <f>('TE BE'!$X$11+'TE BF'!$X$11+'TE CVA'!$X$11)*1</f>
        <v>0</v>
      </c>
      <c r="V11" s="20">
        <f>('TE BE'!$Z$11+'TE BF'!$Z$11+'TE CVA'!$Z$11)*1</f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185.74428793846701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3">
      <c r="A12" s="99"/>
      <c r="B12" s="99"/>
      <c r="C12" s="99"/>
      <c r="D12" s="22" t="s">
        <v>29</v>
      </c>
      <c r="E12" s="22" t="s">
        <v>25</v>
      </c>
      <c r="F12" s="22" t="s">
        <v>25</v>
      </c>
      <c r="G12" s="23" t="s">
        <v>74</v>
      </c>
      <c r="H12" s="23" t="s">
        <v>70</v>
      </c>
      <c r="I12" s="23">
        <f>'MERCADO TE'!$U$9</f>
        <v>86.132999999999996</v>
      </c>
      <c r="J12" s="15"/>
      <c r="L12" s="20">
        <f>('TE BE'!$L$12+'TE BF'!$L$12+'TE CVA'!$L$12)*(1 - 0.65)</f>
        <v>0</v>
      </c>
      <c r="M12" s="20">
        <f>('TE BE'!$M$12+'TE BF'!$M$12+'TE CVA'!$M$12)*(1 - 0.65)</f>
        <v>0</v>
      </c>
      <c r="N12" s="20">
        <f>('TE BE'!$N$12+'TE BF'!$N$12+'TE CVA'!$N$12)*(1 - 0.65)</f>
        <v>0</v>
      </c>
      <c r="O12" s="20">
        <f>('TE BE'!$O$12+'TE BF'!$O$12+'TE CVA'!$O$12)*(1 - 0.65)</f>
        <v>0</v>
      </c>
      <c r="P12" s="20">
        <f>('TE BE'!$P$12+'TE BF'!$P$12+'TE CVA'!$P$12)*(1 - 0.65)</f>
        <v>0</v>
      </c>
      <c r="Q12" s="20">
        <f>('TE BE'!$R$12+'TE BF'!$R$12+'TE CVA'!$R$12)*(1 - 0.65)</f>
        <v>58.367224355543108</v>
      </c>
      <c r="R12" s="20">
        <f>('TE BE'!$T$12+'TE BF'!$T$12+'TE CVA'!$T$12)*(1 - 0.65)</f>
        <v>0</v>
      </c>
      <c r="S12" s="20">
        <f>('TE BE'!$U$12+'TE BF'!$U$12+'TE CVA'!$U$12)*(1 - 0.65)</f>
        <v>0</v>
      </c>
      <c r="T12" s="20">
        <f>('TE BE'!$V$12+'TE BF'!$V$12+'TE CVA'!$V$12)*(1 - 0.65)</f>
        <v>0</v>
      </c>
      <c r="U12" s="20">
        <f>('TE BE'!$X$12+'TE BF'!$X$12+'TE CVA'!$X$12)*(1 - 0.65)</f>
        <v>0</v>
      </c>
      <c r="V12" s="20">
        <f>('TE BE'!$Z$12+'TE BF'!$Z$12+'TE CVA'!$Z$12)*(1 - 0.65)</f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65.010500778463594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3">
      <c r="A13" s="99"/>
      <c r="B13" s="99"/>
      <c r="C13" s="99"/>
      <c r="D13" s="22" t="s">
        <v>30</v>
      </c>
      <c r="E13" s="22" t="s">
        <v>25</v>
      </c>
      <c r="F13" s="22" t="s">
        <v>25</v>
      </c>
      <c r="G13" s="23" t="s">
        <v>74</v>
      </c>
      <c r="H13" s="23" t="s">
        <v>70</v>
      </c>
      <c r="I13" s="23">
        <f>'MERCADO TE'!$U$10</f>
        <v>172.315</v>
      </c>
      <c r="J13" s="15"/>
      <c r="L13" s="20">
        <f>('TE BE'!$L$13+'TE BF'!$L$13+'TE CVA'!$L$13)*(1 - 0.4)</f>
        <v>0</v>
      </c>
      <c r="M13" s="20">
        <f>('TE BE'!$M$13+'TE BF'!$M$13+'TE CVA'!$M$13)*(1 - 0.4)</f>
        <v>0</v>
      </c>
      <c r="N13" s="20">
        <f>('TE BE'!$N$13+'TE BF'!$N$13+'TE CVA'!$N$13)*(1 - 0.4)</f>
        <v>0</v>
      </c>
      <c r="O13" s="20">
        <f>('TE BE'!$O$13+'TE BF'!$O$13+'TE CVA'!$O$13)*(1 - 0.4)</f>
        <v>0</v>
      </c>
      <c r="P13" s="20">
        <f>('TE BE'!$P$13+'TE BF'!$P$13+'TE CVA'!$P$13)*(1 - 0.4)</f>
        <v>0</v>
      </c>
      <c r="Q13" s="20">
        <f>('TE BE'!$R$13+'TE BF'!$R$13+'TE CVA'!$R$13)*(1 - 0.4)</f>
        <v>100.05809889521676</v>
      </c>
      <c r="R13" s="20">
        <f>('TE BE'!$T$13+'TE BF'!$T$13+'TE CVA'!$T$13)*(1 - 0.4)</f>
        <v>0</v>
      </c>
      <c r="S13" s="20">
        <f>('TE BE'!$U$13+'TE BF'!$U$13+'TE CVA'!$U$13)*(1 - 0.4)</f>
        <v>0</v>
      </c>
      <c r="T13" s="20">
        <f>('TE BE'!$V$13+'TE BF'!$V$13+'TE CVA'!$V$13)*(1 - 0.4)</f>
        <v>0</v>
      </c>
      <c r="U13" s="20">
        <f>('TE BE'!$X$13+'TE BF'!$X$13+'TE CVA'!$X$13)*(1 - 0.4)</f>
        <v>0</v>
      </c>
      <c r="V13" s="20">
        <f>('TE BE'!$Z$13+'TE BF'!$Z$13+'TE CVA'!$Z$13)*(1 - 0.4)</f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111.44657276308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3">
      <c r="A14" s="99"/>
      <c r="B14" s="99"/>
      <c r="C14" s="99"/>
      <c r="D14" s="22" t="s">
        <v>31</v>
      </c>
      <c r="E14" s="22" t="s">
        <v>25</v>
      </c>
      <c r="F14" s="22" t="s">
        <v>25</v>
      </c>
      <c r="G14" s="23" t="s">
        <v>74</v>
      </c>
      <c r="H14" s="23" t="s">
        <v>70</v>
      </c>
      <c r="I14" s="23">
        <f>'MERCADO TE'!$U$11</f>
        <v>174.131</v>
      </c>
      <c r="J14" s="15"/>
      <c r="L14" s="20">
        <f>('TE BE'!$L$14+'TE BF'!$L$14+'TE CVA'!$L$14)*(1 - 0.1)</f>
        <v>0</v>
      </c>
      <c r="M14" s="20">
        <f>('TE BE'!$M$14+'TE BF'!$M$14+'TE CVA'!$M$14)*(1 - 0.1)</f>
        <v>0</v>
      </c>
      <c r="N14" s="20">
        <f>('TE BE'!$N$14+'TE BF'!$N$14+'TE CVA'!$N$14)*(1 - 0.1)</f>
        <v>0</v>
      </c>
      <c r="O14" s="20">
        <f>('TE BE'!$O$14+'TE BF'!$O$14+'TE CVA'!$O$14)*(1 - 0.1)</f>
        <v>0</v>
      </c>
      <c r="P14" s="20">
        <f>('TE BE'!$P$14+'TE BF'!$P$14+'TE CVA'!$P$14)*(1 - 0.1)</f>
        <v>0</v>
      </c>
      <c r="Q14" s="20">
        <f>('TE BE'!$R$14+'TE BF'!$R$14+'TE CVA'!$R$14)*(1 - 0.1)</f>
        <v>150.08714834282515</v>
      </c>
      <c r="R14" s="20">
        <f>('TE BE'!$T$14+'TE BF'!$T$14+'TE CVA'!$T$14)*(1 - 0.1)</f>
        <v>0</v>
      </c>
      <c r="S14" s="20">
        <f>('TE BE'!$U$14+'TE BF'!$U$14+'TE CVA'!$U$14)*(1 - 0.1)</f>
        <v>0</v>
      </c>
      <c r="T14" s="20">
        <f>('TE BE'!$V$14+'TE BF'!$V$14+'TE CVA'!$V$14)*(1 - 0.1)</f>
        <v>0</v>
      </c>
      <c r="U14" s="20">
        <f>('TE BE'!$X$14+'TE BF'!$X$14+'TE CVA'!$X$14)*(1 - 0.1)</f>
        <v>0</v>
      </c>
      <c r="V14" s="20">
        <f>('TE BE'!$Z$14+'TE BF'!$Z$14+'TE CVA'!$Z$14)*(1 - 0.1)</f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167.169859144621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3">
      <c r="A15" s="99"/>
      <c r="B15" s="99"/>
      <c r="C15" s="99"/>
      <c r="D15" s="22" t="s">
        <v>32</v>
      </c>
      <c r="E15" s="22" t="s">
        <v>25</v>
      </c>
      <c r="F15" s="22" t="s">
        <v>25</v>
      </c>
      <c r="G15" s="23" t="s">
        <v>74</v>
      </c>
      <c r="H15" s="23" t="s">
        <v>70</v>
      </c>
      <c r="I15" s="23">
        <f>'MERCADO TE'!$U$12</f>
        <v>71.680000000000007</v>
      </c>
      <c r="J15" s="15"/>
      <c r="L15" s="20">
        <f>('TE BE'!$L$15+'TE BF'!$L$15+'TE CVA'!$L$15)*1</f>
        <v>0</v>
      </c>
      <c r="M15" s="20">
        <f>('TE BE'!$M$15+'TE BF'!$M$15+'TE CVA'!$M$15)*1</f>
        <v>0</v>
      </c>
      <c r="N15" s="20">
        <f>('TE BE'!$N$15+'TE BF'!$N$15+'TE CVA'!$N$15)*1</f>
        <v>0</v>
      </c>
      <c r="O15" s="20">
        <f>('TE BE'!$O$15+'TE BF'!$O$15+'TE CVA'!$O$15)*1</f>
        <v>0</v>
      </c>
      <c r="P15" s="20">
        <f>('TE BE'!$P$15+'TE BF'!$P$15+'TE CVA'!$P$15)*1</f>
        <v>0</v>
      </c>
      <c r="Q15" s="20">
        <f>('TE BE'!$R$15+'TE BF'!$R$15+'TE CVA'!$R$15)*1</f>
        <v>166.7634981586946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0</v>
      </c>
      <c r="V15" s="20">
        <f>('TE BE'!$Z$15+'TE BF'!$Z$15+'TE CVA'!$Z$15)*1</f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185.74428793846701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3">
      <c r="A16" s="99"/>
      <c r="B16" s="99" t="s">
        <v>84</v>
      </c>
      <c r="C16" s="99" t="s">
        <v>24</v>
      </c>
      <c r="D16" s="22" t="s">
        <v>24</v>
      </c>
      <c r="E16" s="22" t="s">
        <v>25</v>
      </c>
      <c r="F16" s="22" t="s">
        <v>25</v>
      </c>
      <c r="G16" s="23" t="s">
        <v>74</v>
      </c>
      <c r="H16" s="23" t="s">
        <v>70</v>
      </c>
      <c r="I16" s="23">
        <f>'MERCADO TE'!$U$13</f>
        <v>0</v>
      </c>
      <c r="J16" s="15"/>
      <c r="L16" s="20">
        <f>('TE BE'!$L$16+'TE BF'!$L$16+'TE CVA'!$L$16)*1</f>
        <v>0</v>
      </c>
      <c r="M16" s="20">
        <f>('TE BE'!$M$16+'TE BF'!$M$16+'TE CVA'!$M$16)*1</f>
        <v>0</v>
      </c>
      <c r="N16" s="20">
        <f>('TE BE'!$N$16+'TE BF'!$N$16+'TE CVA'!$N$16)*1</f>
        <v>0</v>
      </c>
      <c r="O16" s="20">
        <f>('TE BE'!$O$16+'TE BF'!$O$16+'TE CVA'!$O$16)*1</f>
        <v>0</v>
      </c>
      <c r="P16" s="20">
        <f>('TE BE'!$P$16+'TE BF'!$P$16+'TE CVA'!$P$16)*1</f>
        <v>0</v>
      </c>
      <c r="Q16" s="20">
        <f>('TE BE'!$R$16+'TE BF'!$R$16+'TE CVA'!$R$16)*1</f>
        <v>166.7634981586946</v>
      </c>
      <c r="R16" s="20">
        <f>('TE BE'!$T$16+'TE BF'!$T$16+'TE CVA'!$T$16)*1</f>
        <v>0</v>
      </c>
      <c r="S16" s="20">
        <f>('TE BE'!$U$16+'TE BF'!$U$16+'TE CVA'!$U$16)*1</f>
        <v>0</v>
      </c>
      <c r="T16" s="20">
        <f>('TE BE'!$V$16+'TE BF'!$V$16+'TE CVA'!$V$16)*1</f>
        <v>0</v>
      </c>
      <c r="U16" s="20">
        <f>('TE BE'!$X$16+'TE BF'!$X$16+'TE CVA'!$X$16)*1</f>
        <v>0</v>
      </c>
      <c r="V16" s="20">
        <f>('TE BE'!$Z$16+'TE BF'!$Z$16+'TE CVA'!$Z$16)*1</f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185.74428793846701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3">
      <c r="A17" s="99"/>
      <c r="B17" s="99"/>
      <c r="C17" s="99"/>
      <c r="D17" s="22" t="s">
        <v>29</v>
      </c>
      <c r="E17" s="22" t="s">
        <v>25</v>
      </c>
      <c r="F17" s="22" t="s">
        <v>25</v>
      </c>
      <c r="G17" s="23" t="s">
        <v>74</v>
      </c>
      <c r="H17" s="23" t="s">
        <v>70</v>
      </c>
      <c r="I17" s="23">
        <f>'MERCADO TE'!$U$14</f>
        <v>0</v>
      </c>
      <c r="J17" s="15"/>
      <c r="L17" s="20">
        <f>('TE BE'!$L$17+'TE BF'!$L$17+'TE CVA'!$L$17)*(1 - 0.65)</f>
        <v>0</v>
      </c>
      <c r="M17" s="20">
        <f>('TE BE'!$M$17+'TE BF'!$M$17+'TE CVA'!$M$17)*(1 - 0.65)</f>
        <v>0</v>
      </c>
      <c r="N17" s="20">
        <f>('TE BE'!$N$17+'TE BF'!$N$17+'TE CVA'!$N$17)*(1 - 0.65)</f>
        <v>0</v>
      </c>
      <c r="O17" s="20">
        <f>('TE BE'!$O$17+'TE BF'!$O$17+'TE CVA'!$O$17)*(1 - 0.65)</f>
        <v>0</v>
      </c>
      <c r="P17" s="20">
        <f>('TE BE'!$P$17+'TE BF'!$P$17+'TE CVA'!$P$17)*(1 - 0.65)</f>
        <v>0</v>
      </c>
      <c r="Q17" s="20">
        <f>('TE BE'!$R$17+'TE BF'!$R$17+'TE CVA'!$R$17)*(1 - 0.65)</f>
        <v>58.367224355543108</v>
      </c>
      <c r="R17" s="20">
        <f>('TE BE'!$T$17+'TE BF'!$T$17+'TE CVA'!$T$17)*(1 - 0.65)</f>
        <v>0</v>
      </c>
      <c r="S17" s="20">
        <f>('TE BE'!$U$17+'TE BF'!$U$17+'TE CVA'!$U$17)*(1 - 0.65)</f>
        <v>0</v>
      </c>
      <c r="T17" s="20">
        <f>('TE BE'!$V$17+'TE BF'!$V$17+'TE CVA'!$V$17)*(1 - 0.65)</f>
        <v>0</v>
      </c>
      <c r="U17" s="20">
        <f>('TE BE'!$X$17+'TE BF'!$X$17+'TE CVA'!$X$17)*(1 - 0.65)</f>
        <v>0</v>
      </c>
      <c r="V17" s="20">
        <f>('TE BE'!$Z$17+'TE BF'!$Z$17+'TE CVA'!$Z$17)*(1 - 0.65)</f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65.010500778463594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3">
      <c r="A18" s="99"/>
      <c r="B18" s="99"/>
      <c r="C18" s="99"/>
      <c r="D18" s="22" t="s">
        <v>30</v>
      </c>
      <c r="E18" s="22" t="s">
        <v>25</v>
      </c>
      <c r="F18" s="22" t="s">
        <v>25</v>
      </c>
      <c r="G18" s="23" t="s">
        <v>74</v>
      </c>
      <c r="H18" s="23" t="s">
        <v>70</v>
      </c>
      <c r="I18" s="23">
        <f>'MERCADO TE'!$U$15</f>
        <v>0</v>
      </c>
      <c r="J18" s="15"/>
      <c r="L18" s="20">
        <f>('TE BE'!$L$18+'TE BF'!$L$18+'TE CVA'!$L$18)*(1 - 0.4)</f>
        <v>0</v>
      </c>
      <c r="M18" s="20">
        <f>('TE BE'!$M$18+'TE BF'!$M$18+'TE CVA'!$M$18)*(1 - 0.4)</f>
        <v>0</v>
      </c>
      <c r="N18" s="20">
        <f>('TE BE'!$N$18+'TE BF'!$N$18+'TE CVA'!$N$18)*(1 - 0.4)</f>
        <v>0</v>
      </c>
      <c r="O18" s="20">
        <f>('TE BE'!$O$18+'TE BF'!$O$18+'TE CVA'!$O$18)*(1 - 0.4)</f>
        <v>0</v>
      </c>
      <c r="P18" s="20">
        <f>('TE BE'!$P$18+'TE BF'!$P$18+'TE CVA'!$P$18)*(1 - 0.4)</f>
        <v>0</v>
      </c>
      <c r="Q18" s="20">
        <f>('TE BE'!$R$18+'TE BF'!$R$18+'TE CVA'!$R$18)*(1 - 0.4)</f>
        <v>100.05809889521676</v>
      </c>
      <c r="R18" s="20">
        <f>('TE BE'!$T$18+'TE BF'!$T$18+'TE CVA'!$T$18)*(1 - 0.4)</f>
        <v>0</v>
      </c>
      <c r="S18" s="20">
        <f>('TE BE'!$U$18+'TE BF'!$U$18+'TE CVA'!$U$18)*(1 - 0.4)</f>
        <v>0</v>
      </c>
      <c r="T18" s="20">
        <f>('TE BE'!$V$18+'TE BF'!$V$18+'TE CVA'!$V$18)*(1 - 0.4)</f>
        <v>0</v>
      </c>
      <c r="U18" s="20">
        <f>('TE BE'!$X$18+'TE BF'!$X$18+'TE CVA'!$X$18)*(1 - 0.4)</f>
        <v>0</v>
      </c>
      <c r="V18" s="20">
        <f>('TE BE'!$Z$18+'TE BF'!$Z$18+'TE CVA'!$Z$18)*(1 - 0.4)</f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111.44657276308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3">
      <c r="A19" s="99"/>
      <c r="B19" s="99"/>
      <c r="C19" s="99"/>
      <c r="D19" s="22" t="s">
        <v>31</v>
      </c>
      <c r="E19" s="22" t="s">
        <v>25</v>
      </c>
      <c r="F19" s="22" t="s">
        <v>25</v>
      </c>
      <c r="G19" s="23" t="s">
        <v>74</v>
      </c>
      <c r="H19" s="23" t="s">
        <v>70</v>
      </c>
      <c r="I19" s="23">
        <f>'MERCADO TE'!$U$16</f>
        <v>0</v>
      </c>
      <c r="J19" s="15"/>
      <c r="L19" s="20">
        <f>('TE BE'!$L$19+'TE BF'!$L$19+'TE CVA'!$L$19)*(1 - 0.1)</f>
        <v>0</v>
      </c>
      <c r="M19" s="20">
        <f>('TE BE'!$M$19+'TE BF'!$M$19+'TE CVA'!$M$19)*(1 - 0.1)</f>
        <v>0</v>
      </c>
      <c r="N19" s="20">
        <f>('TE BE'!$N$19+'TE BF'!$N$19+'TE CVA'!$N$19)*(1 - 0.1)</f>
        <v>0</v>
      </c>
      <c r="O19" s="20">
        <f>('TE BE'!$O$19+'TE BF'!$O$19+'TE CVA'!$O$19)*(1 - 0.1)</f>
        <v>0</v>
      </c>
      <c r="P19" s="20">
        <f>('TE BE'!$P$19+'TE BF'!$P$19+'TE CVA'!$P$19)*(1 - 0.1)</f>
        <v>0</v>
      </c>
      <c r="Q19" s="20">
        <f>('TE BE'!$R$19+'TE BF'!$R$19+'TE CVA'!$R$19)*(1 - 0.1)</f>
        <v>150.08714834282515</v>
      </c>
      <c r="R19" s="20">
        <f>('TE BE'!$T$19+'TE BF'!$T$19+'TE CVA'!$T$19)*(1 - 0.1)</f>
        <v>0</v>
      </c>
      <c r="S19" s="20">
        <f>('TE BE'!$U$19+'TE BF'!$U$19+'TE CVA'!$U$19)*(1 - 0.1)</f>
        <v>0</v>
      </c>
      <c r="T19" s="20">
        <f>('TE BE'!$V$19+'TE BF'!$V$19+'TE CVA'!$V$19)*(1 - 0.1)</f>
        <v>0</v>
      </c>
      <c r="U19" s="20">
        <f>('TE BE'!$X$19+'TE BF'!$X$19+'TE CVA'!$X$19)*(1 - 0.1)</f>
        <v>0</v>
      </c>
      <c r="V19" s="20">
        <f>('TE BE'!$Z$19+'TE BF'!$Z$19+'TE CVA'!$Z$19)*(1 - 0.1)</f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167.169859144621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3">
      <c r="A20" s="99"/>
      <c r="B20" s="99"/>
      <c r="C20" s="99"/>
      <c r="D20" s="22" t="s">
        <v>32</v>
      </c>
      <c r="E20" s="22" t="s">
        <v>25</v>
      </c>
      <c r="F20" s="22" t="s">
        <v>25</v>
      </c>
      <c r="G20" s="23" t="s">
        <v>74</v>
      </c>
      <c r="H20" s="23" t="s">
        <v>70</v>
      </c>
      <c r="I20" s="23">
        <f>'MERCADO TE'!$U$17</f>
        <v>0</v>
      </c>
      <c r="J20" s="15"/>
      <c r="L20" s="20">
        <f>('TE BE'!$L$20+'TE BF'!$L$20+'TE CVA'!$L$20)*1</f>
        <v>0</v>
      </c>
      <c r="M20" s="20">
        <f>('TE BE'!$M$20+'TE BF'!$M$20+'TE CVA'!$M$20)*1</f>
        <v>0</v>
      </c>
      <c r="N20" s="20">
        <f>('TE BE'!$N$20+'TE BF'!$N$20+'TE CVA'!$N$20)*1</f>
        <v>0</v>
      </c>
      <c r="O20" s="20">
        <f>('TE BE'!$O$20+'TE BF'!$O$20+'TE CVA'!$O$20)*1</f>
        <v>0</v>
      </c>
      <c r="P20" s="20">
        <f>('TE BE'!$P$20+'TE BF'!$P$20+'TE CVA'!$P$20)*1</f>
        <v>0</v>
      </c>
      <c r="Q20" s="20">
        <f>('TE BE'!$R$20+'TE BF'!$R$20+'TE CVA'!$R$20)*1</f>
        <v>166.7634981586946</v>
      </c>
      <c r="R20" s="20">
        <f>('TE BE'!$T$20+'TE BF'!$T$20+'TE CVA'!$T$20)*1</f>
        <v>0</v>
      </c>
      <c r="S20" s="20">
        <f>('TE BE'!$U$20+'TE BF'!$U$20+'TE CVA'!$U$20)*1</f>
        <v>0</v>
      </c>
      <c r="T20" s="20">
        <f>('TE BE'!$V$20+'TE BF'!$V$20+'TE CVA'!$V$20)*1</f>
        <v>0</v>
      </c>
      <c r="U20" s="20">
        <f>('TE BE'!$X$20+'TE BF'!$X$20+'TE CVA'!$X$20)*1</f>
        <v>0</v>
      </c>
      <c r="V20" s="20">
        <f>('TE BE'!$Z$20+'TE BF'!$Z$20+'TE CVA'!$Z$20)*1</f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185.74428793846701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3">
      <c r="A21" s="99" t="s">
        <v>43</v>
      </c>
      <c r="B21" s="99" t="s">
        <v>69</v>
      </c>
      <c r="C21" s="99" t="s">
        <v>44</v>
      </c>
      <c r="D21" s="99" t="s">
        <v>25</v>
      </c>
      <c r="E21" s="99" t="s">
        <v>25</v>
      </c>
      <c r="F21" s="99" t="s">
        <v>25</v>
      </c>
      <c r="G21" s="23" t="s">
        <v>71</v>
      </c>
      <c r="H21" s="23" t="s">
        <v>70</v>
      </c>
      <c r="I21" s="23">
        <f>'MERCADO TE'!$U$18</f>
        <v>0</v>
      </c>
      <c r="J21" s="15"/>
      <c r="L21" s="20">
        <f>('TE BE'!$L$21+'TE BF'!$L$21+'TE CVA'!$L$21)*(1 - CUSTOS!$M$38)</f>
        <v>0</v>
      </c>
      <c r="M21" s="20">
        <f>('TE BE'!$M$21+'TE BF'!$M$21+'TE CVA'!$M$21)*(1 - CUSTOS!$M$38)</f>
        <v>0</v>
      </c>
      <c r="N21" s="20">
        <f>('TE BE'!$N$21+'TE BF'!$N$21+'TE CVA'!$N$21)*(1 - CUSTOS!$M$38)</f>
        <v>0</v>
      </c>
      <c r="O21" s="20">
        <f>('TE BE'!$O$21+'TE BF'!$O$21+'TE CVA'!$O$21)*(1 - CUSTOS!$M$38)</f>
        <v>0</v>
      </c>
      <c r="P21" s="20">
        <f>('TE BE'!$P$21+'TE BF'!$P$21+'TE CVA'!$P$21)*(1 - CUSTOS!$M$38)</f>
        <v>0</v>
      </c>
      <c r="Q21" s="20">
        <f>('TE BE'!$R$21+'TE BF'!$R$21+'TE CVA'!$R$21)*(1 - CUSTOS!$M$38)</f>
        <v>156.75768826917292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0</v>
      </c>
      <c r="V21" s="20">
        <f>('TE BE'!$Z$21+'TE BF'!$Z$21+'TE CVA'!$Z$21)*(1 - CUSTOS!$M$38)</f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163.45497338585099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3">
      <c r="A22" s="99"/>
      <c r="B22" s="99"/>
      <c r="C22" s="99"/>
      <c r="D22" s="99"/>
      <c r="E22" s="99"/>
      <c r="F22" s="99"/>
      <c r="G22" s="23" t="s">
        <v>83</v>
      </c>
      <c r="H22" s="23" t="s">
        <v>70</v>
      </c>
      <c r="I22" s="23">
        <f>'MERCADO TE'!$U$19</f>
        <v>0</v>
      </c>
      <c r="J22" s="15"/>
      <c r="L22" s="20">
        <f>('TE BE'!$L$22+'TE BF'!$L$22+'TE CVA'!$L$22)*(1 - CUSTOS!$M$38)</f>
        <v>0</v>
      </c>
      <c r="M22" s="20">
        <f>('TE BE'!$M$22+'TE BF'!$M$22+'TE CVA'!$M$22)*(1 - CUSTOS!$M$38)</f>
        <v>0</v>
      </c>
      <c r="N22" s="20">
        <f>('TE BE'!$N$22+'TE BF'!$N$22+'TE CVA'!$N$22)*(1 - CUSTOS!$M$38)</f>
        <v>0</v>
      </c>
      <c r="O22" s="20">
        <f>('TE BE'!$O$22+'TE BF'!$O$22+'TE CVA'!$O$22)*(1 - CUSTOS!$M$38)</f>
        <v>0</v>
      </c>
      <c r="P22" s="20">
        <f>('TE BE'!$P$22+'TE BF'!$P$22+'TE CVA'!$P$22)*(1 - CUSTOS!$M$38)</f>
        <v>0</v>
      </c>
      <c r="Q22" s="20">
        <f>('TE BE'!$R$22+'TE BF'!$R$22+'TE CVA'!$R$22)*(1 - CUSTOS!$M$38)</f>
        <v>156.75768826917292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0</v>
      </c>
      <c r="V22" s="20">
        <f>('TE BE'!$Z$22+'TE BF'!$Z$22+'TE CVA'!$Z$22)*(1 - CUSTOS!$M$38)</f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163.45497338585099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3">
      <c r="A23" s="99"/>
      <c r="B23" s="99"/>
      <c r="C23" s="99"/>
      <c r="D23" s="99"/>
      <c r="E23" s="99"/>
      <c r="F23" s="99"/>
      <c r="G23" s="23" t="s">
        <v>72</v>
      </c>
      <c r="H23" s="23" t="s">
        <v>70</v>
      </c>
      <c r="I23" s="23">
        <f>'MERCADO TE'!$U$20</f>
        <v>0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0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0</v>
      </c>
      <c r="Q23" s="20">
        <f>('TE BE'!$R$23+'TE BF'!$R$23+'TE CVA'!$R$23)*(1 - CUSTOS!$M$38)</f>
        <v>156.75768826917292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0</v>
      </c>
      <c r="V23" s="20">
        <f>('TE BE'!$Z$23+'TE BF'!$Z$23+'TE CVA'!$Z$23)*(1 - CUSTOS!$M$38)</f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163.45497338585099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3">
      <c r="A24" s="99"/>
      <c r="B24" s="22" t="s">
        <v>73</v>
      </c>
      <c r="C24" s="22" t="s">
        <v>44</v>
      </c>
      <c r="D24" s="22" t="s">
        <v>25</v>
      </c>
      <c r="E24" s="22" t="s">
        <v>25</v>
      </c>
      <c r="F24" s="22" t="s">
        <v>25</v>
      </c>
      <c r="G24" s="23" t="s">
        <v>74</v>
      </c>
      <c r="H24" s="23" t="s">
        <v>70</v>
      </c>
      <c r="I24" s="23">
        <f>'MERCADO TE'!$U$21</f>
        <v>19400.674999999996</v>
      </c>
      <c r="J24" s="15"/>
      <c r="L24" s="20">
        <f>('TE BE'!$L$24+'TE BF'!$L$24+'TE CVA'!$L$24)*(1 - CUSTOS!$M$38)</f>
        <v>0</v>
      </c>
      <c r="M24" s="20">
        <f>('TE BE'!$M$24+'TE BF'!$M$24+'TE CVA'!$M$24)*(1 - CUSTOS!$M$38)</f>
        <v>0</v>
      </c>
      <c r="N24" s="20">
        <f>('TE BE'!$N$24+'TE BF'!$N$24+'TE CVA'!$N$24)*(1 - CUSTOS!$M$38)</f>
        <v>0</v>
      </c>
      <c r="O24" s="20">
        <f>('TE BE'!$O$24+'TE BF'!$O$24+'TE CVA'!$O$24)*(1 - CUSTOS!$M$38)</f>
        <v>0</v>
      </c>
      <c r="P24" s="20">
        <f>('TE BE'!$P$24+'TE BF'!$P$24+'TE CVA'!$P$24)*(1 - CUSTOS!$M$38)</f>
        <v>0</v>
      </c>
      <c r="Q24" s="20">
        <f>('TE BE'!$R$24+'TE BF'!$R$24+'TE CVA'!$R$24)*(1 - CUSTOS!$M$38)</f>
        <v>156.75768826917292</v>
      </c>
      <c r="R24" s="20">
        <f>('TE BE'!$T$24+'TE BF'!$T$24+'TE CVA'!$T$24)*(1 - CUSTOS!$M$38)</f>
        <v>0</v>
      </c>
      <c r="S24" s="20">
        <f>('TE BE'!$U$24+'TE BF'!$U$24+'TE CVA'!$U$24)*(1 - CUSTOS!$M$38)</f>
        <v>0</v>
      </c>
      <c r="T24" s="20">
        <f>('TE BE'!$V$24+'TE BF'!$V$24+'TE CVA'!$V$24)*(1 - CUSTOS!$M$38)</f>
        <v>0</v>
      </c>
      <c r="U24" s="20">
        <f>('TE BE'!$X$24+'TE BF'!$X$24+'TE CVA'!$X$24)*(1 - CUSTOS!$M$38)</f>
        <v>0</v>
      </c>
      <c r="V24" s="20">
        <f>('TE BE'!$Z$24+'TE BF'!$Z$24+'TE CVA'!$Z$24)*(1 - CUSTOS!$M$38)</f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163.45497338585099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3">
      <c r="A25" s="99"/>
      <c r="B25" s="99" t="s">
        <v>69</v>
      </c>
      <c r="C25" s="99" t="s">
        <v>44</v>
      </c>
      <c r="D25" s="99" t="s">
        <v>86</v>
      </c>
      <c r="E25" s="99" t="s">
        <v>25</v>
      </c>
      <c r="F25" s="99" t="s">
        <v>25</v>
      </c>
      <c r="G25" s="23" t="s">
        <v>71</v>
      </c>
      <c r="H25" s="23" t="s">
        <v>70</v>
      </c>
      <c r="I25" s="23">
        <f>'MERCADO TE'!$U$22</f>
        <v>0</v>
      </c>
      <c r="J25" s="15"/>
      <c r="L25" s="20">
        <f>('TE BE'!$L$25+'TE BF'!$L$25+'TE CVA'!$L$25)*(1 - CUSTOS!$M$39)</f>
        <v>0</v>
      </c>
      <c r="M25" s="20">
        <f>('TE BE'!$M$25+'TE BF'!$M$25+'TE CVA'!$M$25)*(1 - CUSTOS!$M$39)</f>
        <v>0</v>
      </c>
      <c r="N25" s="20">
        <f>('TE BE'!$N$25+'TE BF'!$N$25+'TE CVA'!$N$25)*(1 - CUSTOS!$M$39)</f>
        <v>0</v>
      </c>
      <c r="O25" s="20">
        <f>('TE BE'!$O$25+'TE BF'!$O$25+'TE CVA'!$O$25)*(1 - CUSTOS!$M$39)</f>
        <v>0</v>
      </c>
      <c r="P25" s="20">
        <f>('TE BE'!$P$25+'TE BF'!$P$25+'TE CVA'!$P$25)*(1 - CUSTOS!$M$39)</f>
        <v>0</v>
      </c>
      <c r="Q25" s="20">
        <f>('TE BE'!$R$25+'TE BF'!$R$25+'TE CVA'!$R$25)*(1 - CUSTOS!$M$39)</f>
        <v>156.75768826917292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0</v>
      </c>
      <c r="V25" s="20">
        <f>('TE BE'!$Z$25+'TE BF'!$Z$25+'TE CVA'!$Z$25)*(1 - CUSTOS!$M$39)</f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163.45497338585099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3">
      <c r="A26" s="99"/>
      <c r="B26" s="99"/>
      <c r="C26" s="99"/>
      <c r="D26" s="99"/>
      <c r="E26" s="99"/>
      <c r="F26" s="99"/>
      <c r="G26" s="23" t="s">
        <v>83</v>
      </c>
      <c r="H26" s="23" t="s">
        <v>70</v>
      </c>
      <c r="I26" s="23">
        <f>'MERCADO TE'!$U$23</f>
        <v>0</v>
      </c>
      <c r="J26" s="15"/>
      <c r="L26" s="20">
        <f>('TE BE'!$L$26+'TE BF'!$L$26+'TE CVA'!$L$26)*(1 - CUSTOS!$M$39)</f>
        <v>0</v>
      </c>
      <c r="M26" s="20">
        <f>('TE BE'!$M$26+'TE BF'!$M$26+'TE CVA'!$M$26)*(1 - CUSTOS!$M$39)</f>
        <v>0</v>
      </c>
      <c r="N26" s="20">
        <f>('TE BE'!$N$26+'TE BF'!$N$26+'TE CVA'!$N$26)*(1 - CUSTOS!$M$39)</f>
        <v>0</v>
      </c>
      <c r="O26" s="20">
        <f>('TE BE'!$O$26+'TE BF'!$O$26+'TE CVA'!$O$26)*(1 - CUSTOS!$M$39)</f>
        <v>0</v>
      </c>
      <c r="P26" s="20">
        <f>('TE BE'!$P$26+'TE BF'!$P$26+'TE CVA'!$P$26)*(1 - CUSTOS!$M$39)</f>
        <v>0</v>
      </c>
      <c r="Q26" s="20">
        <f>('TE BE'!$R$26+'TE BF'!$R$26+'TE CVA'!$R$26)*(1 - CUSTOS!$M$39)</f>
        <v>156.75768826917292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0</v>
      </c>
      <c r="V26" s="20">
        <f>('TE BE'!$Z$26+'TE BF'!$Z$26+'TE CVA'!$Z$26)*(1 - CUSTOS!$M$39)</f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163.45497338585099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3">
      <c r="A27" s="99"/>
      <c r="B27" s="99"/>
      <c r="C27" s="99"/>
      <c r="D27" s="99"/>
      <c r="E27" s="99"/>
      <c r="F27" s="99"/>
      <c r="G27" s="23" t="s">
        <v>72</v>
      </c>
      <c r="H27" s="23" t="s">
        <v>70</v>
      </c>
      <c r="I27" s="23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0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0</v>
      </c>
      <c r="Q27" s="20">
        <f>('TE BE'!$R$27+'TE BF'!$R$27+'TE CVA'!$R$27)*(1 - CUSTOS!$M$39)</f>
        <v>156.75768826917292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0</v>
      </c>
      <c r="V27" s="20">
        <f>('TE BE'!$Z$27+'TE BF'!$Z$27+'TE CVA'!$Z$27)*(1 - CUSTOS!$M$39)</f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163.45497338585099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3">
      <c r="A28" s="99"/>
      <c r="B28" s="22" t="s">
        <v>73</v>
      </c>
      <c r="C28" s="22" t="s">
        <v>44</v>
      </c>
      <c r="D28" s="22" t="s">
        <v>86</v>
      </c>
      <c r="E28" s="22" t="s">
        <v>25</v>
      </c>
      <c r="F28" s="22" t="s">
        <v>25</v>
      </c>
      <c r="G28" s="23" t="s">
        <v>74</v>
      </c>
      <c r="H28" s="23" t="s">
        <v>70</v>
      </c>
      <c r="I28" s="23">
        <f>'MERCADO TE'!$U$25</f>
        <v>0</v>
      </c>
      <c r="J28" s="15"/>
      <c r="L28" s="20">
        <f>('TE BE'!$L$28+'TE BF'!$L$28+'TE CVA'!$L$28)*(1 - CUSTOS!$M$39)</f>
        <v>0</v>
      </c>
      <c r="M28" s="20">
        <f>('TE BE'!$M$28+'TE BF'!$M$28+'TE CVA'!$M$28)*(1 - CUSTOS!$M$39)</f>
        <v>0</v>
      </c>
      <c r="N28" s="20">
        <f>('TE BE'!$N$28+'TE BF'!$N$28+'TE CVA'!$N$28)*(1 - CUSTOS!$M$39)</f>
        <v>0</v>
      </c>
      <c r="O28" s="20">
        <f>('TE BE'!$O$28+'TE BF'!$O$28+'TE CVA'!$O$28)*(1 - CUSTOS!$M$39)</f>
        <v>0</v>
      </c>
      <c r="P28" s="20">
        <f>('TE BE'!$P$28+'TE BF'!$P$28+'TE CVA'!$P$28)*(1 - CUSTOS!$M$39)</f>
        <v>0</v>
      </c>
      <c r="Q28" s="20">
        <f>('TE BE'!$R$28+'TE BF'!$R$28+'TE CVA'!$R$28)*(1 - CUSTOS!$M$39)</f>
        <v>156.75768826917292</v>
      </c>
      <c r="R28" s="20">
        <f>('TE BE'!$T$28+'TE BF'!$T$28+'TE CVA'!$T$28)*(1 - CUSTOS!$M$39)</f>
        <v>0</v>
      </c>
      <c r="S28" s="20">
        <f>('TE BE'!$U$28+'TE BF'!$U$28+'TE CVA'!$U$28)*(1 - CUSTOS!$M$39)</f>
        <v>0</v>
      </c>
      <c r="T28" s="20">
        <f>('TE BE'!$V$28+'TE BF'!$V$28+'TE CVA'!$V$28)*(1 - CUSTOS!$M$39)</f>
        <v>0</v>
      </c>
      <c r="U28" s="20">
        <f>('TE BE'!$X$28+'TE BF'!$X$28+'TE CVA'!$X$28)*(1 - CUSTOS!$M$39)</f>
        <v>0</v>
      </c>
      <c r="V28" s="20">
        <f>('TE BE'!$Z$28+'TE BF'!$Z$28+'TE CVA'!$Z$28)*(1 - CUSTOS!$M$39)</f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163.45497338585099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3">
      <c r="A29" s="99"/>
      <c r="B29" s="99" t="s">
        <v>69</v>
      </c>
      <c r="C29" s="99" t="s">
        <v>44</v>
      </c>
      <c r="D29" s="99" t="s">
        <v>87</v>
      </c>
      <c r="E29" s="99" t="s">
        <v>25</v>
      </c>
      <c r="F29" s="99" t="s">
        <v>25</v>
      </c>
      <c r="G29" s="23" t="s">
        <v>71</v>
      </c>
      <c r="H29" s="23" t="s">
        <v>70</v>
      </c>
      <c r="I29" s="23">
        <f>'MERCADO TE'!$U$26</f>
        <v>0</v>
      </c>
      <c r="J29" s="15"/>
      <c r="L29" s="20">
        <f>('TE BE'!$L$29+'TE BF'!$L$29+'TE CVA'!$L$29)*(1 - CUSTOS!$M$40)</f>
        <v>0</v>
      </c>
      <c r="M29" s="20">
        <f>('TE BE'!$M$29+'TE BF'!$M$29+'TE CVA'!$M$29)*(1 - CUSTOS!$M$40)</f>
        <v>0</v>
      </c>
      <c r="N29" s="20">
        <f>('TE BE'!$N$29+'TE BF'!$N$29+'TE CVA'!$N$29)*(1 - CUSTOS!$M$40)</f>
        <v>0</v>
      </c>
      <c r="O29" s="20">
        <f>('TE BE'!$O$29+'TE BF'!$O$29+'TE CVA'!$O$29)*(1 - CUSTOS!$M$40)</f>
        <v>0</v>
      </c>
      <c r="P29" s="20">
        <f>('TE BE'!$P$29+'TE BF'!$P$29+'TE CVA'!$P$29)*(1 - CUSTOS!$M$40)</f>
        <v>0</v>
      </c>
      <c r="Q29" s="20">
        <f>('TE BE'!$R$29+'TE BF'!$R$29+'TE CVA'!$R$29)*(1 - CUSTOS!$M$40)</f>
        <v>153.42241830599903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0</v>
      </c>
      <c r="V29" s="20">
        <f>('TE BE'!$Z$29+'TE BF'!$Z$29+'TE CVA'!$Z$29)*(1 - CUSTOS!$M$40)</f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156.02520186831299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3">
      <c r="A30" s="99"/>
      <c r="B30" s="99"/>
      <c r="C30" s="99"/>
      <c r="D30" s="99"/>
      <c r="E30" s="99"/>
      <c r="F30" s="99"/>
      <c r="G30" s="23" t="s">
        <v>83</v>
      </c>
      <c r="H30" s="23" t="s">
        <v>70</v>
      </c>
      <c r="I30" s="23">
        <f>'MERCADO TE'!$U$27</f>
        <v>0</v>
      </c>
      <c r="J30" s="15"/>
      <c r="L30" s="20">
        <f>('TE BE'!$L$30+'TE BF'!$L$30+'TE CVA'!$L$30)*(1 - CUSTOS!$M$40)</f>
        <v>0</v>
      </c>
      <c r="M30" s="20">
        <f>('TE BE'!$M$30+'TE BF'!$M$30+'TE CVA'!$M$30)*(1 - CUSTOS!$M$40)</f>
        <v>0</v>
      </c>
      <c r="N30" s="20">
        <f>('TE BE'!$N$30+'TE BF'!$N$30+'TE CVA'!$N$30)*(1 - CUSTOS!$M$40)</f>
        <v>0</v>
      </c>
      <c r="O30" s="20">
        <f>('TE BE'!$O$30+'TE BF'!$O$30+'TE CVA'!$O$30)*(1 - CUSTOS!$M$40)</f>
        <v>0</v>
      </c>
      <c r="P30" s="20">
        <f>('TE BE'!$P$30+'TE BF'!$P$30+'TE CVA'!$P$30)*(1 - CUSTOS!$M$40)</f>
        <v>0</v>
      </c>
      <c r="Q30" s="20">
        <f>('TE BE'!$R$30+'TE BF'!$R$30+'TE CVA'!$R$30)*(1 - CUSTOS!$M$40)</f>
        <v>153.42241830599903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0</v>
      </c>
      <c r="V30" s="20">
        <f>('TE BE'!$Z$30+'TE BF'!$Z$30+'TE CVA'!$Z$30)*(1 - CUSTOS!$M$40)</f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156.02520186831299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3">
      <c r="A31" s="99"/>
      <c r="B31" s="99"/>
      <c r="C31" s="99"/>
      <c r="D31" s="99"/>
      <c r="E31" s="99"/>
      <c r="F31" s="99"/>
      <c r="G31" s="23" t="s">
        <v>72</v>
      </c>
      <c r="H31" s="23" t="s">
        <v>70</v>
      </c>
      <c r="I31" s="23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0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0</v>
      </c>
      <c r="Q31" s="20">
        <f>('TE BE'!$R$31+'TE BF'!$R$31+'TE CVA'!$R$31)*(1 - CUSTOS!$M$40)</f>
        <v>153.42241830599903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0</v>
      </c>
      <c r="V31" s="20">
        <f>('TE BE'!$Z$31+'TE BF'!$Z$31+'TE CVA'!$Z$31)*(1 - CUSTOS!$M$40)</f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156.02520186831299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3">
      <c r="A32" s="99"/>
      <c r="B32" s="22" t="s">
        <v>73</v>
      </c>
      <c r="C32" s="22" t="s">
        <v>44</v>
      </c>
      <c r="D32" s="22" t="s">
        <v>87</v>
      </c>
      <c r="E32" s="22" t="s">
        <v>25</v>
      </c>
      <c r="F32" s="22" t="s">
        <v>25</v>
      </c>
      <c r="G32" s="23" t="s">
        <v>74</v>
      </c>
      <c r="H32" s="23" t="s">
        <v>70</v>
      </c>
      <c r="I32" s="23">
        <f>'MERCADO TE'!$U$29</f>
        <v>0</v>
      </c>
      <c r="J32" s="15"/>
      <c r="L32" s="20">
        <f>('TE BE'!$L$32+'TE BF'!$L$32+'TE CVA'!$L$32)*(1 - CUSTOS!$M$40)</f>
        <v>0</v>
      </c>
      <c r="M32" s="20">
        <f>('TE BE'!$M$32+'TE BF'!$M$32+'TE CVA'!$M$32)*(1 - CUSTOS!$M$40)</f>
        <v>0</v>
      </c>
      <c r="N32" s="20">
        <f>('TE BE'!$N$32+'TE BF'!$N$32+'TE CVA'!$N$32)*(1 - CUSTOS!$M$40)</f>
        <v>0</v>
      </c>
      <c r="O32" s="20">
        <f>('TE BE'!$O$32+'TE BF'!$O$32+'TE CVA'!$O$32)*(1 - CUSTOS!$M$40)</f>
        <v>0</v>
      </c>
      <c r="P32" s="20">
        <f>('TE BE'!$P$32+'TE BF'!$P$32+'TE CVA'!$P$32)*(1 - CUSTOS!$M$40)</f>
        <v>0</v>
      </c>
      <c r="Q32" s="20">
        <f>('TE BE'!$R$32+'TE BF'!$R$32+'TE CVA'!$R$32)*(1 - CUSTOS!$M$40)</f>
        <v>153.42241830599903</v>
      </c>
      <c r="R32" s="20">
        <f>('TE BE'!$T$32+'TE BF'!$T$32+'TE CVA'!$T$32)*(1 - CUSTOS!$M$40)</f>
        <v>0</v>
      </c>
      <c r="S32" s="20">
        <f>('TE BE'!$U$32+'TE BF'!$U$32+'TE CVA'!$U$32)*(1 - CUSTOS!$M$40)</f>
        <v>0</v>
      </c>
      <c r="T32" s="20">
        <f>('TE BE'!$V$32+'TE BF'!$V$32+'TE CVA'!$V$32)*(1 - CUSTOS!$M$40)</f>
        <v>0</v>
      </c>
      <c r="U32" s="20">
        <f>('TE BE'!$X$32+'TE BF'!$X$32+'TE CVA'!$X$32)*(1 - CUSTOS!$M$40)</f>
        <v>0</v>
      </c>
      <c r="V32" s="20">
        <f>('TE BE'!$Z$32+'TE BF'!$Z$32+'TE CVA'!$Z$32)*(1 - CUSTOS!$M$40)</f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156.02520186831299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3">
      <c r="A33" s="99"/>
      <c r="B33" s="99" t="s">
        <v>84</v>
      </c>
      <c r="C33" s="99" t="s">
        <v>44</v>
      </c>
      <c r="D33" s="22" t="s">
        <v>25</v>
      </c>
      <c r="E33" s="22" t="s">
        <v>25</v>
      </c>
      <c r="F33" s="22" t="s">
        <v>25</v>
      </c>
      <c r="G33" s="23" t="s">
        <v>74</v>
      </c>
      <c r="H33" s="23" t="s">
        <v>70</v>
      </c>
      <c r="I33" s="23">
        <f>'MERCADO TE'!$U$30</f>
        <v>0</v>
      </c>
      <c r="J33" s="15"/>
      <c r="L33" s="20">
        <f>('TE BE'!$L$33+'TE BF'!$L$33+'TE CVA'!$L$33)*(1 - CUSTOS!$M$38)</f>
        <v>0</v>
      </c>
      <c r="M33" s="20">
        <f>('TE BE'!$M$33+'TE BF'!$M$33+'TE CVA'!$M$33)*(1 - CUSTOS!$M$38)</f>
        <v>0</v>
      </c>
      <c r="N33" s="20">
        <f>('TE BE'!$N$33+'TE BF'!$N$33+'TE CVA'!$N$33)*(1 - CUSTOS!$M$38)</f>
        <v>0</v>
      </c>
      <c r="O33" s="20">
        <f>('TE BE'!$O$33+'TE BF'!$O$33+'TE CVA'!$O$33)*(1 - CUSTOS!$M$38)</f>
        <v>0</v>
      </c>
      <c r="P33" s="20">
        <f>('TE BE'!$P$33+'TE BF'!$P$33+'TE CVA'!$P$33)*(1 - CUSTOS!$M$38)</f>
        <v>0</v>
      </c>
      <c r="Q33" s="20">
        <f>('TE BE'!$R$33+'TE BF'!$R$33+'TE CVA'!$R$33)*(1 - CUSTOS!$M$38)</f>
        <v>156.75768826917292</v>
      </c>
      <c r="R33" s="20">
        <f>('TE BE'!$T$33+'TE BF'!$T$33+'TE CVA'!$T$33)*(1 - CUSTOS!$M$38)</f>
        <v>0</v>
      </c>
      <c r="S33" s="20">
        <f>('TE BE'!$U$33+'TE BF'!$U$33+'TE CVA'!$U$33)*(1 - CUSTOS!$M$38)</f>
        <v>0</v>
      </c>
      <c r="T33" s="20">
        <f>('TE BE'!$V$33+'TE BF'!$V$33+'TE CVA'!$V$33)*(1 - CUSTOS!$M$38)</f>
        <v>0</v>
      </c>
      <c r="U33" s="20">
        <f>('TE BE'!$X$33+'TE BF'!$X$33+'TE CVA'!$X$33)*(1 - CUSTOS!$M$38)</f>
        <v>0</v>
      </c>
      <c r="V33" s="20">
        <f>('TE BE'!$Z$33+'TE BF'!$Z$33+'TE CVA'!$Z$33)*(1 - CUSTOS!$M$38)</f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163.45497338585099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3">
      <c r="A34" s="99"/>
      <c r="B34" s="99"/>
      <c r="C34" s="99"/>
      <c r="D34" s="22" t="s">
        <v>86</v>
      </c>
      <c r="E34" s="22" t="s">
        <v>25</v>
      </c>
      <c r="F34" s="22" t="s">
        <v>25</v>
      </c>
      <c r="G34" s="23" t="s">
        <v>74</v>
      </c>
      <c r="H34" s="23" t="s">
        <v>70</v>
      </c>
      <c r="I34" s="23">
        <f>'MERCADO TE'!$U$31</f>
        <v>0</v>
      </c>
      <c r="J34" s="15"/>
      <c r="L34" s="20">
        <f>('TE BE'!$L$34+'TE BF'!$L$34+'TE CVA'!$L$34)*(1 - CUSTOS!$M$39)</f>
        <v>0</v>
      </c>
      <c r="M34" s="20">
        <f>('TE BE'!$M$34+'TE BF'!$M$34+'TE CVA'!$M$34)*(1 - CUSTOS!$M$39)</f>
        <v>0</v>
      </c>
      <c r="N34" s="20">
        <f>('TE BE'!$N$34+'TE BF'!$N$34+'TE CVA'!$N$34)*(1 - CUSTOS!$M$39)</f>
        <v>0</v>
      </c>
      <c r="O34" s="20">
        <f>('TE BE'!$O$34+'TE BF'!$O$34+'TE CVA'!$O$34)*(1 - CUSTOS!$M$39)</f>
        <v>0</v>
      </c>
      <c r="P34" s="20">
        <f>('TE BE'!$P$34+'TE BF'!$P$34+'TE CVA'!$P$34)*(1 - CUSTOS!$M$39)</f>
        <v>0</v>
      </c>
      <c r="Q34" s="20">
        <f>('TE BE'!$R$34+'TE BF'!$R$34+'TE CVA'!$R$34)*(1 - CUSTOS!$M$39)</f>
        <v>156.75768826917292</v>
      </c>
      <c r="R34" s="20">
        <f>('TE BE'!$T$34+'TE BF'!$T$34+'TE CVA'!$T$34)*(1 - CUSTOS!$M$39)</f>
        <v>0</v>
      </c>
      <c r="S34" s="20">
        <f>('TE BE'!$U$34+'TE BF'!$U$34+'TE CVA'!$U$34)*(1 - CUSTOS!$M$39)</f>
        <v>0</v>
      </c>
      <c r="T34" s="20">
        <f>('TE BE'!$V$34+'TE BF'!$V$34+'TE CVA'!$V$34)*(1 - CUSTOS!$M$39)</f>
        <v>0</v>
      </c>
      <c r="U34" s="20">
        <f>('TE BE'!$X$34+'TE BF'!$X$34+'TE CVA'!$X$34)*(1 - CUSTOS!$M$39)</f>
        <v>0</v>
      </c>
      <c r="V34" s="20">
        <f>('TE BE'!$Z$34+'TE BF'!$Z$34+'TE CVA'!$Z$34)*(1 - CUSTOS!$M$39)</f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163.45497338585099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3">
      <c r="A35" s="99"/>
      <c r="B35" s="99"/>
      <c r="C35" s="99"/>
      <c r="D35" s="22" t="s">
        <v>87</v>
      </c>
      <c r="E35" s="22" t="s">
        <v>25</v>
      </c>
      <c r="F35" s="22" t="s">
        <v>25</v>
      </c>
      <c r="G35" s="23" t="s">
        <v>74</v>
      </c>
      <c r="H35" s="23" t="s">
        <v>70</v>
      </c>
      <c r="I35" s="23">
        <f>'MERCADO TE'!$U$32</f>
        <v>0</v>
      </c>
      <c r="J35" s="15"/>
      <c r="L35" s="20">
        <f>('TE BE'!$L$35+'TE BF'!$L$35+'TE CVA'!$L$35)*(1 - CUSTOS!$M$40)</f>
        <v>0</v>
      </c>
      <c r="M35" s="20">
        <f>('TE BE'!$M$35+'TE BF'!$M$35+'TE CVA'!$M$35)*(1 - CUSTOS!$M$40)</f>
        <v>0</v>
      </c>
      <c r="N35" s="20">
        <f>('TE BE'!$N$35+'TE BF'!$N$35+'TE CVA'!$N$35)*(1 - CUSTOS!$M$40)</f>
        <v>0</v>
      </c>
      <c r="O35" s="20">
        <f>('TE BE'!$O$35+'TE BF'!$O$35+'TE CVA'!$O$35)*(1 - CUSTOS!$M$40)</f>
        <v>0</v>
      </c>
      <c r="P35" s="20">
        <f>('TE BE'!$P$35+'TE BF'!$P$35+'TE CVA'!$P$35)*(1 - CUSTOS!$M$40)</f>
        <v>0</v>
      </c>
      <c r="Q35" s="20">
        <f>('TE BE'!$R$35+'TE BF'!$R$35+'TE CVA'!$R$35)*(1 - CUSTOS!$M$40)</f>
        <v>153.42241830599903</v>
      </c>
      <c r="R35" s="20">
        <f>('TE BE'!$T$35+'TE BF'!$T$35+'TE CVA'!$T$35)*(1 - CUSTOS!$M$40)</f>
        <v>0</v>
      </c>
      <c r="S35" s="20">
        <f>('TE BE'!$U$35+'TE BF'!$U$35+'TE CVA'!$U$35)*(1 - CUSTOS!$M$40)</f>
        <v>0</v>
      </c>
      <c r="T35" s="20">
        <f>('TE BE'!$V$35+'TE BF'!$V$35+'TE CVA'!$V$35)*(1 - CUSTOS!$M$40)</f>
        <v>0</v>
      </c>
      <c r="U35" s="20">
        <f>('TE BE'!$X$35+'TE BF'!$X$35+'TE CVA'!$X$35)*(1 - CUSTOS!$M$40)</f>
        <v>0</v>
      </c>
      <c r="V35" s="20">
        <f>('TE BE'!$Z$35+'TE BF'!$Z$35+'TE CVA'!$Z$35)*(1 - CUSTOS!$M$40)</f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156.02520186831299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3">
      <c r="A36" s="99" t="s">
        <v>35</v>
      </c>
      <c r="B36" s="99" t="s">
        <v>69</v>
      </c>
      <c r="C36" s="99" t="s">
        <v>25</v>
      </c>
      <c r="D36" s="99" t="s">
        <v>25</v>
      </c>
      <c r="E36" s="99" t="s">
        <v>25</v>
      </c>
      <c r="F36" s="99" t="s">
        <v>25</v>
      </c>
      <c r="G36" s="23" t="s">
        <v>71</v>
      </c>
      <c r="H36" s="23" t="s">
        <v>70</v>
      </c>
      <c r="I36" s="23">
        <f>'MERCADO TE'!$U$33</f>
        <v>0.746</v>
      </c>
      <c r="J36" s="15"/>
      <c r="L36" s="20">
        <f>('TE BE'!$L$36+'TE BF'!$L$36+'TE CVA'!$L$36)*1</f>
        <v>0</v>
      </c>
      <c r="M36" s="20">
        <f>('TE BE'!$M$36+'TE BF'!$M$36+'TE CVA'!$M$36)*1</f>
        <v>0</v>
      </c>
      <c r="N36" s="20">
        <f>('TE BE'!$N$36+'TE BF'!$N$36+'TE CVA'!$N$36)*1</f>
        <v>0</v>
      </c>
      <c r="O36" s="20">
        <f>('TE BE'!$O$36+'TE BF'!$O$36+'TE CVA'!$O$36)*1</f>
        <v>0</v>
      </c>
      <c r="P36" s="20">
        <f>('TE BE'!$P$36+'TE BF'!$P$36+'TE CVA'!$P$36)*1</f>
        <v>0</v>
      </c>
      <c r="Q36" s="20">
        <f>('TE BE'!$R$36+'TE BF'!$R$36+'TE CVA'!$R$36)*1</f>
        <v>166.7634981586946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0</v>
      </c>
      <c r="V36" s="20">
        <f>('TE BE'!$Z$36+'TE BF'!$Z$36+'TE CVA'!$Z$36)*1</f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185.74428793846701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3">
      <c r="A37" s="99"/>
      <c r="B37" s="99"/>
      <c r="C37" s="99"/>
      <c r="D37" s="99"/>
      <c r="E37" s="99"/>
      <c r="F37" s="99"/>
      <c r="G37" s="23" t="s">
        <v>83</v>
      </c>
      <c r="H37" s="23" t="s">
        <v>70</v>
      </c>
      <c r="I37" s="23">
        <f>'MERCADO TE'!$U$34</f>
        <v>0.45699999999999996</v>
      </c>
      <c r="J37" s="15"/>
      <c r="L37" s="20">
        <f>('TE BE'!$L$37+'TE BF'!$L$37+'TE CVA'!$L$37)*1</f>
        <v>0</v>
      </c>
      <c r="M37" s="20">
        <f>('TE BE'!$M$37+'TE BF'!$M$37+'TE CVA'!$M$37)*1</f>
        <v>0</v>
      </c>
      <c r="N37" s="20">
        <f>('TE BE'!$N$37+'TE BF'!$N$37+'TE CVA'!$N$37)*1</f>
        <v>0</v>
      </c>
      <c r="O37" s="20">
        <f>('TE BE'!$O$37+'TE BF'!$O$37+'TE CVA'!$O$37)*1</f>
        <v>0</v>
      </c>
      <c r="P37" s="20">
        <f>('TE BE'!$P$37+'TE BF'!$P$37+'TE CVA'!$P$37)*1</f>
        <v>0</v>
      </c>
      <c r="Q37" s="20">
        <f>('TE BE'!$R$37+'TE BF'!$R$37+'TE CVA'!$R$37)*1</f>
        <v>166.7634981586946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0</v>
      </c>
      <c r="V37" s="20">
        <f>('TE BE'!$Z$37+'TE BF'!$Z$37+'TE CVA'!$Z$37)*1</f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185.74428793846701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3">
      <c r="A38" s="99"/>
      <c r="B38" s="99"/>
      <c r="C38" s="99"/>
      <c r="D38" s="99"/>
      <c r="E38" s="99"/>
      <c r="F38" s="99"/>
      <c r="G38" s="23" t="s">
        <v>72</v>
      </c>
      <c r="H38" s="23" t="s">
        <v>70</v>
      </c>
      <c r="I38" s="23">
        <f>'MERCADO TE'!$U$35</f>
        <v>6.4780000000000006</v>
      </c>
      <c r="J38" s="15"/>
      <c r="L38" s="20">
        <f>('TE BE'!$L$38+'TE BF'!$L$38+'TE CVA'!$L$38)*1</f>
        <v>0</v>
      </c>
      <c r="M38" s="20">
        <f>('TE BE'!$M$38+'TE BF'!$M$38+'TE CVA'!$M$38)*1</f>
        <v>0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0</v>
      </c>
      <c r="Q38" s="20">
        <f>('TE BE'!$R$38+'TE BF'!$R$38+'TE CVA'!$R$38)*1</f>
        <v>166.7634981586946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0</v>
      </c>
      <c r="V38" s="20">
        <f>('TE BE'!$Z$38+'TE BF'!$Z$38+'TE CVA'!$Z$38)*1</f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185.74428793846701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3">
      <c r="A39" s="99"/>
      <c r="B39" s="22" t="s">
        <v>73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74</v>
      </c>
      <c r="H39" s="23" t="s">
        <v>70</v>
      </c>
      <c r="I39" s="23">
        <f>'MERCADO TE'!$U$36</f>
        <v>2717.4190000000003</v>
      </c>
      <c r="J39" s="15"/>
      <c r="L39" s="20">
        <f>('TE BE'!$L$39+'TE BF'!$L$39+'TE CVA'!$L$39)*1</f>
        <v>0</v>
      </c>
      <c r="M39" s="20">
        <f>('TE BE'!$M$39+'TE BF'!$M$39+'TE CVA'!$M$39)*1</f>
        <v>0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0</v>
      </c>
      <c r="Q39" s="20">
        <f>('TE BE'!$R$39+'TE BF'!$R$39+'TE CVA'!$R$39)*1</f>
        <v>166.7634981586946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0</v>
      </c>
      <c r="V39" s="20">
        <f>('TE BE'!$Z$39+'TE BF'!$Z$39+'TE CVA'!$Z$39)*1</f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185.74428793846701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3">
      <c r="A40" s="99"/>
      <c r="B40" s="22" t="s">
        <v>84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74</v>
      </c>
      <c r="H40" s="23" t="s">
        <v>70</v>
      </c>
      <c r="I40" s="23">
        <f>'MERCADO TE'!$U$37</f>
        <v>0</v>
      </c>
      <c r="J40" s="15"/>
      <c r="L40" s="20">
        <f>('TE BE'!$L$40+'TE BF'!$L$40+'TE CVA'!$L$40)*1</f>
        <v>0</v>
      </c>
      <c r="M40" s="20">
        <f>('TE BE'!$M$40+'TE BF'!$M$40+'TE CVA'!$M$40)*1</f>
        <v>0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0</v>
      </c>
      <c r="Q40" s="20">
        <f>('TE BE'!$R$40+'TE BF'!$R$40+'TE CVA'!$R$40)*1</f>
        <v>166.7634981586946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0</v>
      </c>
      <c r="V40" s="20">
        <f>('TE BE'!$Z$40+'TE BF'!$Z$40+'TE CVA'!$Z$40)*1</f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185.74428793846701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3">
      <c r="A41" s="99" t="s">
        <v>46</v>
      </c>
      <c r="B41" s="99" t="s">
        <v>73</v>
      </c>
      <c r="C41" s="99" t="s">
        <v>47</v>
      </c>
      <c r="D41" s="22" t="s">
        <v>48</v>
      </c>
      <c r="E41" s="22" t="s">
        <v>25</v>
      </c>
      <c r="F41" s="22" t="s">
        <v>25</v>
      </c>
      <c r="G41" s="23" t="s">
        <v>74</v>
      </c>
      <c r="H41" s="23" t="s">
        <v>70</v>
      </c>
      <c r="I41" s="23">
        <f>'MERCADO TE'!$U$38</f>
        <v>2495.3550000000005</v>
      </c>
      <c r="J41" s="15"/>
      <c r="L41" s="20">
        <f>('TE BE'!$L$41+'TE BF'!$L$41+'TE CVA'!$L$41)*1</f>
        <v>0</v>
      </c>
      <c r="M41" s="20">
        <f>('TE BE'!$M$41+'TE BF'!$M$41+'TE CVA'!$M$41)*1</f>
        <v>0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0</v>
      </c>
      <c r="Q41" s="20">
        <f>('TE BE'!$R$41+'TE BF'!$R$41+'TE CVA'!$R$41)*1</f>
        <v>91.719923987282044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0</v>
      </c>
      <c r="V41" s="20">
        <f>('TE BE'!$Z$41+'TE BF'!$Z$41+'TE CVA'!$Z$41)*1</f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102.15935836615699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2" spans="1:34" ht="11.25" customHeight="1" x14ac:dyDescent="0.3">
      <c r="A42" s="99"/>
      <c r="B42" s="99"/>
      <c r="C42" s="99"/>
      <c r="D42" s="23" t="s">
        <v>49</v>
      </c>
      <c r="E42" s="23" t="s">
        <v>25</v>
      </c>
      <c r="F42" s="23" t="s">
        <v>25</v>
      </c>
      <c r="G42" s="23" t="s">
        <v>74</v>
      </c>
      <c r="H42" s="23" t="s">
        <v>70</v>
      </c>
      <c r="I42" s="23">
        <f>'MERCADO TE'!$U$39</f>
        <v>1567.3130000000001</v>
      </c>
      <c r="J42" s="15"/>
      <c r="L42" s="20">
        <f>('TE BE'!$L$42+'TE BF'!$L$42+'TE CVA'!$L$42)*1</f>
        <v>0</v>
      </c>
      <c r="M42" s="20">
        <f>('TE BE'!$M$42+'TE BF'!$M$42+'TE CVA'!$M$42)*1</f>
        <v>0</v>
      </c>
      <c r="N42" s="20">
        <f>('TE BE'!$N$42+'TE BF'!$N$42+'TE CVA'!$N$42)*1</f>
        <v>0</v>
      </c>
      <c r="O42" s="20">
        <f>('TE BE'!$O$42+'TE BF'!$O$42+'TE CVA'!$O$42)*1</f>
        <v>0</v>
      </c>
      <c r="P42" s="20">
        <f>('TE BE'!$P$42+'TE BF'!$P$42+'TE CVA'!$P$42)*1</f>
        <v>0</v>
      </c>
      <c r="Q42" s="20">
        <f>('TE BE'!$R$42+'TE BF'!$R$42+'TE CVA'!$R$42)*1</f>
        <v>100.05809889521676</v>
      </c>
      <c r="R42" s="20">
        <f>('TE BE'!$T$42+'TE BF'!$T$42+'TE CVA'!$T$42)*1</f>
        <v>0</v>
      </c>
      <c r="S42" s="20">
        <f>('TE BE'!$U$42+'TE BF'!$U$42+'TE CVA'!$U$42)*1</f>
        <v>0</v>
      </c>
      <c r="T42" s="20">
        <f>('TE BE'!$V$42+'TE BF'!$V$42+'TE CVA'!$V$42)*1</f>
        <v>0</v>
      </c>
      <c r="U42" s="20">
        <f>('TE BE'!$X$42+'TE BF'!$X$42+'TE CVA'!$X$42)*1</f>
        <v>0</v>
      </c>
      <c r="V42" s="20">
        <f>('TE BE'!$Z$42+'TE BF'!$Z$42+'TE CVA'!$Z$42)*1</f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111.44657276308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</row>
    <row r="44" spans="1:34" ht="11.25" customHeight="1" x14ac:dyDescent="0.3">
      <c r="L44" s="101" t="s">
        <v>971</v>
      </c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X44" s="101" t="s">
        <v>972</v>
      </c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</row>
    <row r="45" spans="1:34" ht="11.25" customHeight="1" x14ac:dyDescent="0.3">
      <c r="L45" s="101" t="s">
        <v>527</v>
      </c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X45" s="101" t="s">
        <v>527</v>
      </c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</row>
    <row r="46" spans="1:34" ht="11.25" customHeight="1" x14ac:dyDescent="0.3">
      <c r="L46" s="101" t="s">
        <v>500</v>
      </c>
      <c r="M46" s="101"/>
      <c r="N46" s="101"/>
      <c r="O46" s="101"/>
      <c r="P46" s="101"/>
      <c r="Q46" s="24" t="s">
        <v>531</v>
      </c>
      <c r="R46" s="101" t="s">
        <v>509</v>
      </c>
      <c r="S46" s="101"/>
      <c r="T46" s="101"/>
      <c r="U46" s="24" t="s">
        <v>519</v>
      </c>
      <c r="V46" s="24" t="s">
        <v>522</v>
      </c>
      <c r="X46" s="101" t="s">
        <v>500</v>
      </c>
      <c r="Y46" s="101"/>
      <c r="Z46" s="101"/>
      <c r="AA46" s="101"/>
      <c r="AB46" s="101"/>
      <c r="AC46" s="24" t="s">
        <v>531</v>
      </c>
      <c r="AD46" s="101" t="s">
        <v>509</v>
      </c>
      <c r="AE46" s="101"/>
      <c r="AF46" s="101"/>
      <c r="AG46" s="24" t="s">
        <v>519</v>
      </c>
      <c r="AH46" s="24" t="s">
        <v>522</v>
      </c>
    </row>
    <row r="47" spans="1:34" ht="11.25" customHeight="1" x14ac:dyDescent="0.3">
      <c r="L47" s="24" t="s">
        <v>502</v>
      </c>
      <c r="M47" s="24" t="s">
        <v>528</v>
      </c>
      <c r="N47" s="24" t="s">
        <v>529</v>
      </c>
      <c r="O47" s="24" t="s">
        <v>588</v>
      </c>
      <c r="P47" s="24" t="s">
        <v>530</v>
      </c>
      <c r="Q47" s="24" t="s">
        <v>532</v>
      </c>
      <c r="R47" s="24" t="s">
        <v>533</v>
      </c>
      <c r="S47" s="24" t="s">
        <v>534</v>
      </c>
      <c r="T47" s="24" t="s">
        <v>535</v>
      </c>
      <c r="U47" s="24" t="s">
        <v>520</v>
      </c>
      <c r="V47" s="24" t="s">
        <v>536</v>
      </c>
      <c r="X47" s="24" t="s">
        <v>502</v>
      </c>
      <c r="Y47" s="24" t="s">
        <v>528</v>
      </c>
      <c r="Z47" s="24" t="s">
        <v>529</v>
      </c>
      <c r="AA47" s="24" t="s">
        <v>588</v>
      </c>
      <c r="AB47" s="24" t="s">
        <v>530</v>
      </c>
      <c r="AC47" s="24" t="s">
        <v>532</v>
      </c>
      <c r="AD47" s="24" t="s">
        <v>533</v>
      </c>
      <c r="AE47" s="24" t="s">
        <v>534</v>
      </c>
      <c r="AF47" s="24" t="s">
        <v>535</v>
      </c>
      <c r="AG47" s="24" t="s">
        <v>520</v>
      </c>
      <c r="AH47" s="24" t="s">
        <v>536</v>
      </c>
    </row>
    <row r="48" spans="1:34" ht="11.25" customHeight="1" x14ac:dyDescent="0.3">
      <c r="A48" s="9" t="s">
        <v>37</v>
      </c>
      <c r="B48" s="9" t="s">
        <v>973</v>
      </c>
      <c r="C48" s="9" t="s">
        <v>974</v>
      </c>
      <c r="D48" s="9" t="s">
        <v>975</v>
      </c>
      <c r="E48" s="9" t="s">
        <v>976</v>
      </c>
      <c r="F48" s="9" t="s">
        <v>977</v>
      </c>
      <c r="G48" s="9" t="s">
        <v>978</v>
      </c>
      <c r="L48" s="20">
        <f>$I$5*$L$5</f>
        <v>0</v>
      </c>
      <c r="M48" s="20">
        <f>$I$5*$M$5</f>
        <v>0</v>
      </c>
      <c r="N48" s="20">
        <f>$I$5*$N$5</f>
        <v>0</v>
      </c>
      <c r="O48" s="20">
        <f>$I$5*$O$5</f>
        <v>0</v>
      </c>
      <c r="P48" s="20">
        <f>$I$5*$P$5</f>
        <v>0</v>
      </c>
      <c r="Q48" s="20">
        <f>$I$5*$Q$5</f>
        <v>82999.193614571253</v>
      </c>
      <c r="R48" s="20">
        <f>$I$5*$R$5</f>
        <v>0</v>
      </c>
      <c r="S48" s="20">
        <f>$I$5*$S$5</f>
        <v>0</v>
      </c>
      <c r="T48" s="20">
        <f>$I$5*$T$5</f>
        <v>0</v>
      </c>
      <c r="U48" s="20">
        <f>$I$5*$U$5</f>
        <v>0</v>
      </c>
      <c r="V48" s="20">
        <f>$I$5*$V$5</f>
        <v>0</v>
      </c>
      <c r="X48" s="20">
        <f>$I$5*$X$5</f>
        <v>0</v>
      </c>
      <c r="Y48" s="20">
        <f>$I$5*$Y$5</f>
        <v>0</v>
      </c>
      <c r="Z48" s="20">
        <f>$I$5*$Z$5</f>
        <v>0</v>
      </c>
      <c r="AA48" s="20">
        <f>$I$5*$AA$5</f>
        <v>0</v>
      </c>
      <c r="AB48" s="20">
        <f>$I$5*$AB$5</f>
        <v>0</v>
      </c>
      <c r="AC48" s="20">
        <f>$I$5*$AC$5</f>
        <v>92446.04657270266</v>
      </c>
      <c r="AD48" s="20">
        <f>$I$5*$AD$5</f>
        <v>0</v>
      </c>
      <c r="AE48" s="20">
        <f>$I$5*$AE$5</f>
        <v>0</v>
      </c>
      <c r="AF48" s="20">
        <f>$I$5*$AF$5</f>
        <v>0</v>
      </c>
      <c r="AG48" s="20">
        <f>$I$5*$AG$5</f>
        <v>0</v>
      </c>
      <c r="AH48" s="20">
        <f>$I$5*$AH$5</f>
        <v>0</v>
      </c>
    </row>
    <row r="49" spans="1:34" ht="11.25" customHeight="1" x14ac:dyDescent="0.3">
      <c r="A49" s="9" t="s">
        <v>37</v>
      </c>
      <c r="B49" s="9" t="s">
        <v>973</v>
      </c>
      <c r="C49" s="9" t="s">
        <v>974</v>
      </c>
      <c r="D49" s="9" t="s">
        <v>975</v>
      </c>
      <c r="E49" s="9" t="s">
        <v>976</v>
      </c>
      <c r="F49" s="9" t="s">
        <v>977</v>
      </c>
      <c r="G49" s="9" t="s">
        <v>979</v>
      </c>
      <c r="L49" s="20">
        <f>$I$6*$L$6</f>
        <v>0</v>
      </c>
      <c r="M49" s="20">
        <f>$I$6*$M$6</f>
        <v>0</v>
      </c>
      <c r="N49" s="20">
        <f>$I$6*$N$6</f>
        <v>0</v>
      </c>
      <c r="O49" s="20">
        <f>$I$6*$O$6</f>
        <v>0</v>
      </c>
      <c r="P49" s="20">
        <f>$I$6*$P$6</f>
        <v>0</v>
      </c>
      <c r="Q49" s="20">
        <f>$I$6*$Q$6</f>
        <v>1424260.4991376451</v>
      </c>
      <c r="R49" s="20">
        <f>$I$6*$R$6</f>
        <v>0</v>
      </c>
      <c r="S49" s="20">
        <f>$I$6*$S$6</f>
        <v>0</v>
      </c>
      <c r="T49" s="20">
        <f>$I$6*$T$6</f>
        <v>0</v>
      </c>
      <c r="U49" s="20">
        <f>$I$6*$U$6</f>
        <v>0</v>
      </c>
      <c r="V49" s="20">
        <f>$I$6*$V$6</f>
        <v>0</v>
      </c>
      <c r="X49" s="20">
        <f>$I$6*$X$6</f>
        <v>0</v>
      </c>
      <c r="Y49" s="20">
        <f>$I$6*$Y$6</f>
        <v>0</v>
      </c>
      <c r="Z49" s="20">
        <f>$I$6*$Z$6</f>
        <v>0</v>
      </c>
      <c r="AA49" s="20">
        <f>$I$6*$AA$6</f>
        <v>0</v>
      </c>
      <c r="AB49" s="20">
        <f>$I$6*$AB$6</f>
        <v>0</v>
      </c>
      <c r="AC49" s="20">
        <f>$I$6*$AC$6</f>
        <v>1586367.8513115591</v>
      </c>
      <c r="AD49" s="20">
        <f>$I$6*$AD$6</f>
        <v>0</v>
      </c>
      <c r="AE49" s="20">
        <f>$I$6*$AE$6</f>
        <v>0</v>
      </c>
      <c r="AF49" s="20">
        <f>$I$6*$AF$6</f>
        <v>0</v>
      </c>
      <c r="AG49" s="20">
        <f>$I$6*$AG$6</f>
        <v>0</v>
      </c>
      <c r="AH49" s="20">
        <f>$I$6*$AH$6</f>
        <v>0</v>
      </c>
    </row>
    <row r="50" spans="1:34" ht="11.25" customHeight="1" x14ac:dyDescent="0.3">
      <c r="A50" s="9" t="s">
        <v>37</v>
      </c>
      <c r="B50" s="9" t="s">
        <v>980</v>
      </c>
      <c r="C50" s="9" t="s">
        <v>981</v>
      </c>
      <c r="D50" s="9" t="s">
        <v>982</v>
      </c>
      <c r="E50" s="9" t="s">
        <v>983</v>
      </c>
      <c r="F50" s="9" t="s">
        <v>984</v>
      </c>
      <c r="G50" s="9" t="s">
        <v>985</v>
      </c>
      <c r="L50" s="20">
        <f>$I$7*$L$7</f>
        <v>0</v>
      </c>
      <c r="M50" s="20">
        <f>$I$7*$M$7</f>
        <v>0</v>
      </c>
      <c r="N50" s="20">
        <f>$I$7*$N$7</f>
        <v>0</v>
      </c>
      <c r="O50" s="20">
        <f>$I$7*$O$7</f>
        <v>0</v>
      </c>
      <c r="P50" s="20">
        <f>$I$7*$P$7</f>
        <v>0</v>
      </c>
      <c r="Q50" s="20">
        <f>$I$7*$Q$7</f>
        <v>0</v>
      </c>
      <c r="R50" s="20">
        <f>$I$7*$R$7</f>
        <v>0</v>
      </c>
      <c r="S50" s="20">
        <f>$I$7*$S$7</f>
        <v>0</v>
      </c>
      <c r="T50" s="20">
        <f>$I$7*$T$7</f>
        <v>0</v>
      </c>
      <c r="U50" s="20">
        <f>$I$7*$U$7</f>
        <v>0</v>
      </c>
      <c r="V50" s="20">
        <f>$I$7*$V$7</f>
        <v>0</v>
      </c>
      <c r="X50" s="20">
        <f>$I$7*$X$7</f>
        <v>0</v>
      </c>
      <c r="Y50" s="20">
        <f>$I$7*$Y$7</f>
        <v>0</v>
      </c>
      <c r="Z50" s="20">
        <f>$I$7*$Z$7</f>
        <v>0</v>
      </c>
      <c r="AA50" s="20">
        <f>$I$7*$AA$7</f>
        <v>0</v>
      </c>
      <c r="AB50" s="20">
        <f>$I$7*$AB$7</f>
        <v>0</v>
      </c>
      <c r="AC50" s="20">
        <f>$I$7*$AC$7</f>
        <v>0</v>
      </c>
      <c r="AD50" s="20">
        <f>$I$7*$AD$7</f>
        <v>0</v>
      </c>
      <c r="AE50" s="20">
        <f>$I$7*$AE$7</f>
        <v>0</v>
      </c>
      <c r="AF50" s="20">
        <f>$I$7*$AF$7</f>
        <v>0</v>
      </c>
      <c r="AG50" s="20">
        <f>$I$7*$AG$7</f>
        <v>0</v>
      </c>
      <c r="AH50" s="20">
        <f>$I$7*$AH$7</f>
        <v>0</v>
      </c>
    </row>
    <row r="51" spans="1:34" ht="11.25" customHeight="1" x14ac:dyDescent="0.3">
      <c r="A51" s="9" t="s">
        <v>22</v>
      </c>
      <c r="B51" s="9" t="s">
        <v>986</v>
      </c>
      <c r="C51" s="9" t="s">
        <v>987</v>
      </c>
      <c r="D51" s="9" t="s">
        <v>988</v>
      </c>
      <c r="E51" s="9" t="s">
        <v>989</v>
      </c>
      <c r="F51" s="9" t="s">
        <v>990</v>
      </c>
      <c r="G51" s="9" t="s">
        <v>991</v>
      </c>
      <c r="L51" s="20">
        <f>$I$8*$L$8</f>
        <v>0</v>
      </c>
      <c r="M51" s="20">
        <f>$I$8*$M$8</f>
        <v>0</v>
      </c>
      <c r="N51" s="20">
        <f>$I$8*$N$8</f>
        <v>0</v>
      </c>
      <c r="O51" s="20">
        <f>$I$8*$O$8</f>
        <v>0</v>
      </c>
      <c r="P51" s="20">
        <f>$I$8*$P$8</f>
        <v>0</v>
      </c>
      <c r="Q51" s="20">
        <f>$I$8*$Q$8</f>
        <v>111.39801677000798</v>
      </c>
      <c r="R51" s="20">
        <f>$I$8*$R$8</f>
        <v>0</v>
      </c>
      <c r="S51" s="20">
        <f>$I$8*$S$8</f>
        <v>0</v>
      </c>
      <c r="T51" s="20">
        <f>$I$8*$T$8</f>
        <v>0</v>
      </c>
      <c r="U51" s="20">
        <f>$I$8*$U$8</f>
        <v>0</v>
      </c>
      <c r="V51" s="20">
        <f>$I$8*$V$8</f>
        <v>0</v>
      </c>
      <c r="X51" s="20">
        <f>$I$8*$X$8</f>
        <v>0</v>
      </c>
      <c r="Y51" s="20">
        <f>$I$8*$Y$8</f>
        <v>0</v>
      </c>
      <c r="Z51" s="20">
        <f>$I$8*$Z$8</f>
        <v>0</v>
      </c>
      <c r="AA51" s="20">
        <f>$I$8*$AA$8</f>
        <v>0</v>
      </c>
      <c r="AB51" s="20">
        <f>$I$8*$AB$8</f>
        <v>0</v>
      </c>
      <c r="AC51" s="20">
        <f>$I$8*$AC$8</f>
        <v>124.07718434289595</v>
      </c>
      <c r="AD51" s="20">
        <f>$I$8*$AD$8</f>
        <v>0</v>
      </c>
      <c r="AE51" s="20">
        <f>$I$8*$AE$8</f>
        <v>0</v>
      </c>
      <c r="AF51" s="20">
        <f>$I$8*$AF$8</f>
        <v>0</v>
      </c>
      <c r="AG51" s="20">
        <f>$I$8*$AG$8</f>
        <v>0</v>
      </c>
      <c r="AH51" s="20">
        <f>$I$8*$AH$8</f>
        <v>0</v>
      </c>
    </row>
    <row r="52" spans="1:34" ht="11.25" customHeight="1" x14ac:dyDescent="0.3">
      <c r="A52" s="9" t="s">
        <v>22</v>
      </c>
      <c r="B52" s="9" t="s">
        <v>986</v>
      </c>
      <c r="C52" s="9" t="s">
        <v>987</v>
      </c>
      <c r="D52" s="9" t="s">
        <v>988</v>
      </c>
      <c r="E52" s="9" t="s">
        <v>989</v>
      </c>
      <c r="F52" s="9" t="s">
        <v>990</v>
      </c>
      <c r="G52" s="9" t="s">
        <v>992</v>
      </c>
      <c r="L52" s="20">
        <f>$I$9*$L$9</f>
        <v>0</v>
      </c>
      <c r="M52" s="20">
        <f>$I$9*$M$9</f>
        <v>0</v>
      </c>
      <c r="N52" s="20">
        <f>$I$9*$N$9</f>
        <v>0</v>
      </c>
      <c r="O52" s="20">
        <f>$I$9*$O$9</f>
        <v>0</v>
      </c>
      <c r="P52" s="20">
        <f>$I$9*$P$9</f>
        <v>0</v>
      </c>
      <c r="Q52" s="20">
        <f>$I$9*$Q$9</f>
        <v>56.699589373956172</v>
      </c>
      <c r="R52" s="20">
        <f>$I$9*$R$9</f>
        <v>0</v>
      </c>
      <c r="S52" s="20">
        <f>$I$9*$S$9</f>
        <v>0</v>
      </c>
      <c r="T52" s="20">
        <f>$I$9*$T$9</f>
        <v>0</v>
      </c>
      <c r="U52" s="20">
        <f>$I$9*$U$9</f>
        <v>0</v>
      </c>
      <c r="V52" s="20">
        <f>$I$9*$V$9</f>
        <v>0</v>
      </c>
      <c r="X52" s="20">
        <f>$I$9*$X$9</f>
        <v>0</v>
      </c>
      <c r="Y52" s="20">
        <f>$I$9*$Y$9</f>
        <v>0</v>
      </c>
      <c r="Z52" s="20">
        <f>$I$9*$Z$9</f>
        <v>0</v>
      </c>
      <c r="AA52" s="20">
        <f>$I$9*$AA$9</f>
        <v>0</v>
      </c>
      <c r="AB52" s="20">
        <f>$I$9*$AB$9</f>
        <v>0</v>
      </c>
      <c r="AC52" s="20">
        <f>$I$9*$AC$9</f>
        <v>63.153057899078789</v>
      </c>
      <c r="AD52" s="20">
        <f>$I$9*$AD$9</f>
        <v>0</v>
      </c>
      <c r="AE52" s="20">
        <f>$I$9*$AE$9</f>
        <v>0</v>
      </c>
      <c r="AF52" s="20">
        <f>$I$9*$AF$9</f>
        <v>0</v>
      </c>
      <c r="AG52" s="20">
        <f>$I$9*$AG$9</f>
        <v>0</v>
      </c>
      <c r="AH52" s="20">
        <f>$I$9*$AH$9</f>
        <v>0</v>
      </c>
    </row>
    <row r="53" spans="1:34" ht="11.25" customHeight="1" x14ac:dyDescent="0.3">
      <c r="A53" s="9" t="s">
        <v>22</v>
      </c>
      <c r="B53" s="9" t="s">
        <v>986</v>
      </c>
      <c r="C53" s="9" t="s">
        <v>987</v>
      </c>
      <c r="D53" s="9" t="s">
        <v>988</v>
      </c>
      <c r="E53" s="9" t="s">
        <v>989</v>
      </c>
      <c r="F53" s="9" t="s">
        <v>990</v>
      </c>
      <c r="G53" s="9" t="s">
        <v>993</v>
      </c>
      <c r="L53" s="20">
        <f>$I$10*$L$10</f>
        <v>0</v>
      </c>
      <c r="M53" s="20">
        <f>$I$10*$M$10</f>
        <v>0</v>
      </c>
      <c r="N53" s="20">
        <f>$I$10*$N$10</f>
        <v>0</v>
      </c>
      <c r="O53" s="20">
        <f>$I$10*$O$10</f>
        <v>0</v>
      </c>
      <c r="P53" s="20">
        <f>$I$10*$P$10</f>
        <v>0</v>
      </c>
      <c r="Q53" s="20">
        <f>$I$10*$Q$10</f>
        <v>1444.3386575524539</v>
      </c>
      <c r="R53" s="20">
        <f>$I$10*$R$10</f>
        <v>0</v>
      </c>
      <c r="S53" s="20">
        <f>$I$10*$S$10</f>
        <v>0</v>
      </c>
      <c r="T53" s="20">
        <f>$I$10*$T$10</f>
        <v>0</v>
      </c>
      <c r="U53" s="20">
        <f>$I$10*$U$10</f>
        <v>0</v>
      </c>
      <c r="V53" s="20">
        <f>$I$10*$V$10</f>
        <v>0</v>
      </c>
      <c r="X53" s="20">
        <f>$I$10*$X$10</f>
        <v>0</v>
      </c>
      <c r="Y53" s="20">
        <f>$I$10*$Y$10</f>
        <v>0</v>
      </c>
      <c r="Z53" s="20">
        <f>$I$10*$Z$10</f>
        <v>0</v>
      </c>
      <c r="AA53" s="20">
        <f>$I$10*$AA$10</f>
        <v>0</v>
      </c>
      <c r="AB53" s="20">
        <f>$I$10*$AB$10</f>
        <v>0</v>
      </c>
      <c r="AC53" s="20">
        <f>$I$10*$AC$10</f>
        <v>1608.7312778350627</v>
      </c>
      <c r="AD53" s="20">
        <f>$I$10*$AD$10</f>
        <v>0</v>
      </c>
      <c r="AE53" s="20">
        <f>$I$10*$AE$10</f>
        <v>0</v>
      </c>
      <c r="AF53" s="20">
        <f>$I$10*$AF$10</f>
        <v>0</v>
      </c>
      <c r="AG53" s="20">
        <f>$I$10*$AG$10</f>
        <v>0</v>
      </c>
      <c r="AH53" s="20">
        <f>$I$10*$AH$10</f>
        <v>0</v>
      </c>
    </row>
    <row r="54" spans="1:34" ht="11.25" customHeight="1" x14ac:dyDescent="0.3">
      <c r="A54" s="9" t="s">
        <v>22</v>
      </c>
      <c r="B54" s="9" t="s">
        <v>994</v>
      </c>
      <c r="C54" s="9" t="s">
        <v>995</v>
      </c>
      <c r="D54" s="9" t="s">
        <v>996</v>
      </c>
      <c r="E54" s="9" t="s">
        <v>997</v>
      </c>
      <c r="F54" s="9" t="s">
        <v>998</v>
      </c>
      <c r="G54" s="9" t="s">
        <v>999</v>
      </c>
      <c r="L54" s="20">
        <f>$I$11*$L$11</f>
        <v>0</v>
      </c>
      <c r="M54" s="20">
        <f>$I$11*$M$11</f>
        <v>0</v>
      </c>
      <c r="N54" s="20">
        <f>$I$11*$N$11</f>
        <v>0</v>
      </c>
      <c r="O54" s="20">
        <f>$I$11*$O$11</f>
        <v>0</v>
      </c>
      <c r="P54" s="20">
        <f>$I$11*$P$11</f>
        <v>0</v>
      </c>
      <c r="Q54" s="20">
        <f>$I$11*$Q$11</f>
        <v>2661376.4991891314</v>
      </c>
      <c r="R54" s="20">
        <f>$I$11*$R$11</f>
        <v>0</v>
      </c>
      <c r="S54" s="20">
        <f>$I$11*$S$11</f>
        <v>0</v>
      </c>
      <c r="T54" s="20">
        <f>$I$11*$T$11</f>
        <v>0</v>
      </c>
      <c r="U54" s="20">
        <f>$I$11*$U$11</f>
        <v>0</v>
      </c>
      <c r="V54" s="20">
        <f>$I$11*$V$11</f>
        <v>0</v>
      </c>
      <c r="X54" s="20">
        <f>$I$11*$X$11</f>
        <v>0</v>
      </c>
      <c r="Y54" s="20">
        <f>$I$11*$Y$11</f>
        <v>0</v>
      </c>
      <c r="Z54" s="20">
        <f>$I$11*$Z$11</f>
        <v>0</v>
      </c>
      <c r="AA54" s="20">
        <f>$I$11*$AA$11</f>
        <v>0</v>
      </c>
      <c r="AB54" s="20">
        <f>$I$11*$AB$11</f>
        <v>0</v>
      </c>
      <c r="AC54" s="20">
        <f>$I$11*$AC$11</f>
        <v>2964290.6765342518</v>
      </c>
      <c r="AD54" s="20">
        <f>$I$11*$AD$11</f>
        <v>0</v>
      </c>
      <c r="AE54" s="20">
        <f>$I$11*$AE$11</f>
        <v>0</v>
      </c>
      <c r="AF54" s="20">
        <f>$I$11*$AF$11</f>
        <v>0</v>
      </c>
      <c r="AG54" s="20">
        <f>$I$11*$AG$11</f>
        <v>0</v>
      </c>
      <c r="AH54" s="20">
        <f>$I$11*$AH$11</f>
        <v>0</v>
      </c>
    </row>
    <row r="55" spans="1:34" ht="11.25" customHeight="1" x14ac:dyDescent="0.3">
      <c r="A55" s="9" t="s">
        <v>22</v>
      </c>
      <c r="B55" s="9" t="s">
        <v>994</v>
      </c>
      <c r="C55" s="9" t="s">
        <v>995</v>
      </c>
      <c r="D55" s="9" t="s">
        <v>1000</v>
      </c>
      <c r="E55" s="9" t="s">
        <v>1001</v>
      </c>
      <c r="F55" s="9" t="s">
        <v>1002</v>
      </c>
      <c r="G55" s="9" t="s">
        <v>1003</v>
      </c>
      <c r="L55" s="20">
        <f>$I$12*$L$12</f>
        <v>0</v>
      </c>
      <c r="M55" s="20">
        <f>$I$12*$M$12</f>
        <v>0</v>
      </c>
      <c r="N55" s="20">
        <f>$I$12*$N$12</f>
        <v>0</v>
      </c>
      <c r="O55" s="20">
        <f>$I$12*$O$12</f>
        <v>0</v>
      </c>
      <c r="P55" s="20">
        <f>$I$12*$P$12</f>
        <v>0</v>
      </c>
      <c r="Q55" s="20">
        <f>$I$12*$Q$12</f>
        <v>5027.3441354159941</v>
      </c>
      <c r="R55" s="20">
        <f>$I$12*$R$12</f>
        <v>0</v>
      </c>
      <c r="S55" s="20">
        <f>$I$12*$S$12</f>
        <v>0</v>
      </c>
      <c r="T55" s="20">
        <f>$I$12*$T$12</f>
        <v>0</v>
      </c>
      <c r="U55" s="20">
        <f>$I$12*$U$12</f>
        <v>0</v>
      </c>
      <c r="V55" s="20">
        <f>$I$12*$V$12</f>
        <v>0</v>
      </c>
      <c r="X55" s="20">
        <f>$I$12*$X$12</f>
        <v>0</v>
      </c>
      <c r="Y55" s="20">
        <f>$I$12*$Y$12</f>
        <v>0</v>
      </c>
      <c r="Z55" s="20">
        <f>$I$12*$Z$12</f>
        <v>0</v>
      </c>
      <c r="AA55" s="20">
        <f>$I$12*$AA$12</f>
        <v>0</v>
      </c>
      <c r="AB55" s="20">
        <f>$I$12*$AB$12</f>
        <v>0</v>
      </c>
      <c r="AC55" s="20">
        <f>$I$12*$AC$12</f>
        <v>5599.5494635514042</v>
      </c>
      <c r="AD55" s="20">
        <f>$I$12*$AD$12</f>
        <v>0</v>
      </c>
      <c r="AE55" s="20">
        <f>$I$12*$AE$12</f>
        <v>0</v>
      </c>
      <c r="AF55" s="20">
        <f>$I$12*$AF$12</f>
        <v>0</v>
      </c>
      <c r="AG55" s="20">
        <f>$I$12*$AG$12</f>
        <v>0</v>
      </c>
      <c r="AH55" s="20">
        <f>$I$12*$AH$12</f>
        <v>0</v>
      </c>
    </row>
    <row r="56" spans="1:34" ht="11.25" customHeight="1" x14ac:dyDescent="0.3">
      <c r="A56" s="9" t="s">
        <v>22</v>
      </c>
      <c r="B56" s="9" t="s">
        <v>994</v>
      </c>
      <c r="C56" s="9" t="s">
        <v>995</v>
      </c>
      <c r="D56" s="9" t="s">
        <v>1004</v>
      </c>
      <c r="E56" s="9" t="s">
        <v>1005</v>
      </c>
      <c r="F56" s="9" t="s">
        <v>1006</v>
      </c>
      <c r="G56" s="9" t="s">
        <v>1007</v>
      </c>
      <c r="L56" s="20">
        <f>$I$13*$L$13</f>
        <v>0</v>
      </c>
      <c r="M56" s="20">
        <f>$I$13*$M$13</f>
        <v>0</v>
      </c>
      <c r="N56" s="20">
        <f>$I$13*$N$13</f>
        <v>0</v>
      </c>
      <c r="O56" s="20">
        <f>$I$13*$O$13</f>
        <v>0</v>
      </c>
      <c r="P56" s="20">
        <f>$I$13*$P$13</f>
        <v>0</v>
      </c>
      <c r="Q56" s="20">
        <f>$I$13*$Q$13</f>
        <v>17241.511311129274</v>
      </c>
      <c r="R56" s="20">
        <f>$I$13*$R$13</f>
        <v>0</v>
      </c>
      <c r="S56" s="20">
        <f>$I$13*$S$13</f>
        <v>0</v>
      </c>
      <c r="T56" s="20">
        <f>$I$13*$T$13</f>
        <v>0</v>
      </c>
      <c r="U56" s="20">
        <f>$I$13*$U$13</f>
        <v>0</v>
      </c>
      <c r="V56" s="20">
        <f>$I$13*$V$13</f>
        <v>0</v>
      </c>
      <c r="X56" s="20">
        <f>$I$13*$X$13</f>
        <v>0</v>
      </c>
      <c r="Y56" s="20">
        <f>$I$13*$Y$13</f>
        <v>0</v>
      </c>
      <c r="Z56" s="20">
        <f>$I$13*$Z$13</f>
        <v>0</v>
      </c>
      <c r="AA56" s="20">
        <f>$I$13*$AA$13</f>
        <v>0</v>
      </c>
      <c r="AB56" s="20">
        <f>$I$13*$AB$13</f>
        <v>0</v>
      </c>
      <c r="AC56" s="20">
        <f>$I$13*$AC$13</f>
        <v>19203.916185670128</v>
      </c>
      <c r="AD56" s="20">
        <f>$I$13*$AD$13</f>
        <v>0</v>
      </c>
      <c r="AE56" s="20">
        <f>$I$13*$AE$13</f>
        <v>0</v>
      </c>
      <c r="AF56" s="20">
        <f>$I$13*$AF$13</f>
        <v>0</v>
      </c>
      <c r="AG56" s="20">
        <f>$I$13*$AG$13</f>
        <v>0</v>
      </c>
      <c r="AH56" s="20">
        <f>$I$13*$AH$13</f>
        <v>0</v>
      </c>
    </row>
    <row r="57" spans="1:34" ht="11.25" customHeight="1" x14ac:dyDescent="0.3">
      <c r="A57" s="9" t="s">
        <v>22</v>
      </c>
      <c r="B57" s="9" t="s">
        <v>994</v>
      </c>
      <c r="C57" s="9" t="s">
        <v>995</v>
      </c>
      <c r="D57" s="9" t="s">
        <v>1008</v>
      </c>
      <c r="E57" s="9" t="s">
        <v>1009</v>
      </c>
      <c r="F57" s="9" t="s">
        <v>1010</v>
      </c>
      <c r="G57" s="9" t="s">
        <v>1011</v>
      </c>
      <c r="L57" s="20">
        <f>$I$14*$L$14</f>
        <v>0</v>
      </c>
      <c r="M57" s="20">
        <f>$I$14*$M$14</f>
        <v>0</v>
      </c>
      <c r="N57" s="20">
        <f>$I$14*$N$14</f>
        <v>0</v>
      </c>
      <c r="O57" s="20">
        <f>$I$14*$O$14</f>
        <v>0</v>
      </c>
      <c r="P57" s="20">
        <f>$I$14*$P$14</f>
        <v>0</v>
      </c>
      <c r="Q57" s="20">
        <f>$I$14*$Q$14</f>
        <v>26134.825228084486</v>
      </c>
      <c r="R57" s="20">
        <f>$I$14*$R$14</f>
        <v>0</v>
      </c>
      <c r="S57" s="20">
        <f>$I$14*$S$14</f>
        <v>0</v>
      </c>
      <c r="T57" s="20">
        <f>$I$14*$T$14</f>
        <v>0</v>
      </c>
      <c r="U57" s="20">
        <f>$I$14*$U$14</f>
        <v>0</v>
      </c>
      <c r="V57" s="20">
        <f>$I$14*$V$14</f>
        <v>0</v>
      </c>
      <c r="X57" s="20">
        <f>$I$14*$X$14</f>
        <v>0</v>
      </c>
      <c r="Y57" s="20">
        <f>$I$14*$Y$14</f>
        <v>0</v>
      </c>
      <c r="Z57" s="20">
        <f>$I$14*$Z$14</f>
        <v>0</v>
      </c>
      <c r="AA57" s="20">
        <f>$I$14*$AA$14</f>
        <v>0</v>
      </c>
      <c r="AB57" s="20">
        <f>$I$14*$AB$14</f>
        <v>0</v>
      </c>
      <c r="AC57" s="20">
        <f>$I$14*$AC$14</f>
        <v>29109.454742711998</v>
      </c>
      <c r="AD57" s="20">
        <f>$I$14*$AD$14</f>
        <v>0</v>
      </c>
      <c r="AE57" s="20">
        <f>$I$14*$AE$14</f>
        <v>0</v>
      </c>
      <c r="AF57" s="20">
        <f>$I$14*$AF$14</f>
        <v>0</v>
      </c>
      <c r="AG57" s="20">
        <f>$I$14*$AG$14</f>
        <v>0</v>
      </c>
      <c r="AH57" s="20">
        <f>$I$14*$AH$14</f>
        <v>0</v>
      </c>
    </row>
    <row r="58" spans="1:34" ht="11.25" customHeight="1" x14ac:dyDescent="0.3">
      <c r="A58" s="9" t="s">
        <v>22</v>
      </c>
      <c r="B58" s="9" t="s">
        <v>994</v>
      </c>
      <c r="C58" s="9" t="s">
        <v>995</v>
      </c>
      <c r="D58" s="9" t="s">
        <v>1012</v>
      </c>
      <c r="E58" s="9" t="s">
        <v>1013</v>
      </c>
      <c r="F58" s="9" t="s">
        <v>1014</v>
      </c>
      <c r="G58" s="9" t="s">
        <v>1015</v>
      </c>
      <c r="L58" s="20">
        <f>$I$15*$L$15</f>
        <v>0</v>
      </c>
      <c r="M58" s="20">
        <f>$I$15*$M$15</f>
        <v>0</v>
      </c>
      <c r="N58" s="20">
        <f>$I$15*$N$15</f>
        <v>0</v>
      </c>
      <c r="O58" s="20">
        <f>$I$15*$O$15</f>
        <v>0</v>
      </c>
      <c r="P58" s="20">
        <f>$I$15*$P$15</f>
        <v>0</v>
      </c>
      <c r="Q58" s="20">
        <f>$I$15*$Q$15</f>
        <v>11953.60754801523</v>
      </c>
      <c r="R58" s="20">
        <f>$I$15*$R$15</f>
        <v>0</v>
      </c>
      <c r="S58" s="20">
        <f>$I$15*$S$15</f>
        <v>0</v>
      </c>
      <c r="T58" s="20">
        <f>$I$15*$T$15</f>
        <v>0</v>
      </c>
      <c r="U58" s="20">
        <f>$I$15*$U$15</f>
        <v>0</v>
      </c>
      <c r="V58" s="20">
        <f>$I$15*$V$15</f>
        <v>0</v>
      </c>
      <c r="X58" s="20">
        <f>$I$15*$X$15</f>
        <v>0</v>
      </c>
      <c r="Y58" s="20">
        <f>$I$15*$Y$15</f>
        <v>0</v>
      </c>
      <c r="Z58" s="20">
        <f>$I$15*$Z$15</f>
        <v>0</v>
      </c>
      <c r="AA58" s="20">
        <f>$I$15*$AA$15</f>
        <v>0</v>
      </c>
      <c r="AB58" s="20">
        <f>$I$15*$AB$15</f>
        <v>0</v>
      </c>
      <c r="AC58" s="20">
        <f>$I$15*$AC$15</f>
        <v>13314.150559429316</v>
      </c>
      <c r="AD58" s="20">
        <f>$I$15*$AD$15</f>
        <v>0</v>
      </c>
      <c r="AE58" s="20">
        <f>$I$15*$AE$15</f>
        <v>0</v>
      </c>
      <c r="AF58" s="20">
        <f>$I$15*$AF$15</f>
        <v>0</v>
      </c>
      <c r="AG58" s="20">
        <f>$I$15*$AG$15</f>
        <v>0</v>
      </c>
      <c r="AH58" s="20">
        <f>$I$15*$AH$15</f>
        <v>0</v>
      </c>
    </row>
    <row r="59" spans="1:34" ht="11.25" customHeight="1" x14ac:dyDescent="0.3">
      <c r="A59" s="9" t="s">
        <v>22</v>
      </c>
      <c r="B59" s="9" t="s">
        <v>1016</v>
      </c>
      <c r="C59" s="9" t="s">
        <v>1017</v>
      </c>
      <c r="D59" s="9" t="s">
        <v>1018</v>
      </c>
      <c r="E59" s="9" t="s">
        <v>1019</v>
      </c>
      <c r="F59" s="9" t="s">
        <v>1020</v>
      </c>
      <c r="G59" s="9" t="s">
        <v>1021</v>
      </c>
      <c r="L59" s="20">
        <f>$I$16*$L$16</f>
        <v>0</v>
      </c>
      <c r="M59" s="20">
        <f>$I$16*$M$16</f>
        <v>0</v>
      </c>
      <c r="N59" s="20">
        <f>$I$16*$N$16</f>
        <v>0</v>
      </c>
      <c r="O59" s="20">
        <f>$I$16*$O$16</f>
        <v>0</v>
      </c>
      <c r="P59" s="20">
        <f>$I$16*$P$16</f>
        <v>0</v>
      </c>
      <c r="Q59" s="20">
        <f>$I$16*$Q$16</f>
        <v>0</v>
      </c>
      <c r="R59" s="20">
        <f>$I$16*$R$16</f>
        <v>0</v>
      </c>
      <c r="S59" s="20">
        <f>$I$16*$S$16</f>
        <v>0</v>
      </c>
      <c r="T59" s="20">
        <f>$I$16*$T$16</f>
        <v>0</v>
      </c>
      <c r="U59" s="20">
        <f>$I$16*$U$16</f>
        <v>0</v>
      </c>
      <c r="V59" s="20">
        <f>$I$16*$V$16</f>
        <v>0</v>
      </c>
      <c r="X59" s="20">
        <f>$I$16*$X$16</f>
        <v>0</v>
      </c>
      <c r="Y59" s="20">
        <f>$I$16*$Y$16</f>
        <v>0</v>
      </c>
      <c r="Z59" s="20">
        <f>$I$16*$Z$16</f>
        <v>0</v>
      </c>
      <c r="AA59" s="20">
        <f>$I$16*$AA$16</f>
        <v>0</v>
      </c>
      <c r="AB59" s="20">
        <f>$I$16*$AB$16</f>
        <v>0</v>
      </c>
      <c r="AC59" s="20">
        <f>$I$16*$AC$16</f>
        <v>0</v>
      </c>
      <c r="AD59" s="20">
        <f>$I$16*$AD$16</f>
        <v>0</v>
      </c>
      <c r="AE59" s="20">
        <f>$I$16*$AE$16</f>
        <v>0</v>
      </c>
      <c r="AF59" s="20">
        <f>$I$16*$AF$16</f>
        <v>0</v>
      </c>
      <c r="AG59" s="20">
        <f>$I$16*$AG$16</f>
        <v>0</v>
      </c>
      <c r="AH59" s="20">
        <f>$I$16*$AH$16</f>
        <v>0</v>
      </c>
    </row>
    <row r="60" spans="1:34" ht="11.25" customHeight="1" x14ac:dyDescent="0.3">
      <c r="A60" s="9" t="s">
        <v>22</v>
      </c>
      <c r="B60" s="9" t="s">
        <v>1016</v>
      </c>
      <c r="C60" s="9" t="s">
        <v>1017</v>
      </c>
      <c r="D60" s="9" t="s">
        <v>1022</v>
      </c>
      <c r="E60" s="9" t="s">
        <v>1023</v>
      </c>
      <c r="F60" s="9" t="s">
        <v>1024</v>
      </c>
      <c r="G60" s="9" t="s">
        <v>1025</v>
      </c>
      <c r="L60" s="20">
        <f>$I$17*$L$17</f>
        <v>0</v>
      </c>
      <c r="M60" s="20">
        <f>$I$17*$M$17</f>
        <v>0</v>
      </c>
      <c r="N60" s="20">
        <f>$I$17*$N$17</f>
        <v>0</v>
      </c>
      <c r="O60" s="20">
        <f>$I$17*$O$17</f>
        <v>0</v>
      </c>
      <c r="P60" s="20">
        <f>$I$17*$P$17</f>
        <v>0</v>
      </c>
      <c r="Q60" s="20">
        <f>$I$17*$Q$17</f>
        <v>0</v>
      </c>
      <c r="R60" s="20">
        <f>$I$17*$R$17</f>
        <v>0</v>
      </c>
      <c r="S60" s="20">
        <f>$I$17*$S$17</f>
        <v>0</v>
      </c>
      <c r="T60" s="20">
        <f>$I$17*$T$17</f>
        <v>0</v>
      </c>
      <c r="U60" s="20">
        <f>$I$17*$U$17</f>
        <v>0</v>
      </c>
      <c r="V60" s="20">
        <f>$I$17*$V$17</f>
        <v>0</v>
      </c>
      <c r="X60" s="20">
        <f>$I$17*$X$17</f>
        <v>0</v>
      </c>
      <c r="Y60" s="20">
        <f>$I$17*$Y$17</f>
        <v>0</v>
      </c>
      <c r="Z60" s="20">
        <f>$I$17*$Z$17</f>
        <v>0</v>
      </c>
      <c r="AA60" s="20">
        <f>$I$17*$AA$17</f>
        <v>0</v>
      </c>
      <c r="AB60" s="20">
        <f>$I$17*$AB$17</f>
        <v>0</v>
      </c>
      <c r="AC60" s="20">
        <f>$I$17*$AC$17</f>
        <v>0</v>
      </c>
      <c r="AD60" s="20">
        <f>$I$17*$AD$17</f>
        <v>0</v>
      </c>
      <c r="AE60" s="20">
        <f>$I$17*$AE$17</f>
        <v>0</v>
      </c>
      <c r="AF60" s="20">
        <f>$I$17*$AF$17</f>
        <v>0</v>
      </c>
      <c r="AG60" s="20">
        <f>$I$17*$AG$17</f>
        <v>0</v>
      </c>
      <c r="AH60" s="20">
        <f>$I$17*$AH$17</f>
        <v>0</v>
      </c>
    </row>
    <row r="61" spans="1:34" ht="11.25" customHeight="1" x14ac:dyDescent="0.3">
      <c r="A61" s="9" t="s">
        <v>22</v>
      </c>
      <c r="B61" s="9" t="s">
        <v>1016</v>
      </c>
      <c r="C61" s="9" t="s">
        <v>1017</v>
      </c>
      <c r="D61" s="9" t="s">
        <v>1026</v>
      </c>
      <c r="E61" s="9" t="s">
        <v>1027</v>
      </c>
      <c r="F61" s="9" t="s">
        <v>1028</v>
      </c>
      <c r="G61" s="9" t="s">
        <v>1029</v>
      </c>
      <c r="L61" s="20">
        <f>$I$18*$L$18</f>
        <v>0</v>
      </c>
      <c r="M61" s="20">
        <f>$I$18*$M$18</f>
        <v>0</v>
      </c>
      <c r="N61" s="20">
        <f>$I$18*$N$18</f>
        <v>0</v>
      </c>
      <c r="O61" s="20">
        <f>$I$18*$O$18</f>
        <v>0</v>
      </c>
      <c r="P61" s="20">
        <f>$I$18*$P$18</f>
        <v>0</v>
      </c>
      <c r="Q61" s="20">
        <f>$I$18*$Q$18</f>
        <v>0</v>
      </c>
      <c r="R61" s="20">
        <f>$I$18*$R$18</f>
        <v>0</v>
      </c>
      <c r="S61" s="20">
        <f>$I$18*$S$18</f>
        <v>0</v>
      </c>
      <c r="T61" s="20">
        <f>$I$18*$T$18</f>
        <v>0</v>
      </c>
      <c r="U61" s="20">
        <f>$I$18*$U$18</f>
        <v>0</v>
      </c>
      <c r="V61" s="20">
        <f>$I$18*$V$18</f>
        <v>0</v>
      </c>
      <c r="X61" s="20">
        <f>$I$18*$X$18</f>
        <v>0</v>
      </c>
      <c r="Y61" s="20">
        <f>$I$18*$Y$18</f>
        <v>0</v>
      </c>
      <c r="Z61" s="20">
        <f>$I$18*$Z$18</f>
        <v>0</v>
      </c>
      <c r="AA61" s="20">
        <f>$I$18*$AA$18</f>
        <v>0</v>
      </c>
      <c r="AB61" s="20">
        <f>$I$18*$AB$18</f>
        <v>0</v>
      </c>
      <c r="AC61" s="20">
        <f>$I$18*$AC$18</f>
        <v>0</v>
      </c>
      <c r="AD61" s="20">
        <f>$I$18*$AD$18</f>
        <v>0</v>
      </c>
      <c r="AE61" s="20">
        <f>$I$18*$AE$18</f>
        <v>0</v>
      </c>
      <c r="AF61" s="20">
        <f>$I$18*$AF$18</f>
        <v>0</v>
      </c>
      <c r="AG61" s="20">
        <f>$I$18*$AG$18</f>
        <v>0</v>
      </c>
      <c r="AH61" s="20">
        <f>$I$18*$AH$18</f>
        <v>0</v>
      </c>
    </row>
    <row r="62" spans="1:34" ht="11.25" customHeight="1" x14ac:dyDescent="0.3">
      <c r="A62" s="9" t="s">
        <v>22</v>
      </c>
      <c r="B62" s="9" t="s">
        <v>1016</v>
      </c>
      <c r="C62" s="9" t="s">
        <v>1017</v>
      </c>
      <c r="D62" s="9" t="s">
        <v>1030</v>
      </c>
      <c r="E62" s="9" t="s">
        <v>1031</v>
      </c>
      <c r="F62" s="9" t="s">
        <v>1032</v>
      </c>
      <c r="G62" s="9" t="s">
        <v>1033</v>
      </c>
      <c r="L62" s="20">
        <f>$I$19*$L$19</f>
        <v>0</v>
      </c>
      <c r="M62" s="20">
        <f>$I$19*$M$19</f>
        <v>0</v>
      </c>
      <c r="N62" s="20">
        <f>$I$19*$N$19</f>
        <v>0</v>
      </c>
      <c r="O62" s="20">
        <f>$I$19*$O$19</f>
        <v>0</v>
      </c>
      <c r="P62" s="20">
        <f>$I$19*$P$19</f>
        <v>0</v>
      </c>
      <c r="Q62" s="20">
        <f>$I$19*$Q$19</f>
        <v>0</v>
      </c>
      <c r="R62" s="20">
        <f>$I$19*$R$19</f>
        <v>0</v>
      </c>
      <c r="S62" s="20">
        <f>$I$19*$S$19</f>
        <v>0</v>
      </c>
      <c r="T62" s="20">
        <f>$I$19*$T$19</f>
        <v>0</v>
      </c>
      <c r="U62" s="20">
        <f>$I$19*$U$19</f>
        <v>0</v>
      </c>
      <c r="V62" s="20">
        <f>$I$19*$V$19</f>
        <v>0</v>
      </c>
      <c r="X62" s="20">
        <f>$I$19*$X$19</f>
        <v>0</v>
      </c>
      <c r="Y62" s="20">
        <f>$I$19*$Y$19</f>
        <v>0</v>
      </c>
      <c r="Z62" s="20">
        <f>$I$19*$Z$19</f>
        <v>0</v>
      </c>
      <c r="AA62" s="20">
        <f>$I$19*$AA$19</f>
        <v>0</v>
      </c>
      <c r="AB62" s="20">
        <f>$I$19*$AB$19</f>
        <v>0</v>
      </c>
      <c r="AC62" s="20">
        <f>$I$19*$AC$19</f>
        <v>0</v>
      </c>
      <c r="AD62" s="20">
        <f>$I$19*$AD$19</f>
        <v>0</v>
      </c>
      <c r="AE62" s="20">
        <f>$I$19*$AE$19</f>
        <v>0</v>
      </c>
      <c r="AF62" s="20">
        <f>$I$19*$AF$19</f>
        <v>0</v>
      </c>
      <c r="AG62" s="20">
        <f>$I$19*$AG$19</f>
        <v>0</v>
      </c>
      <c r="AH62" s="20">
        <f>$I$19*$AH$19</f>
        <v>0</v>
      </c>
    </row>
    <row r="63" spans="1:34" ht="11.25" customHeight="1" x14ac:dyDescent="0.3">
      <c r="A63" s="9" t="s">
        <v>22</v>
      </c>
      <c r="B63" s="9" t="s">
        <v>1016</v>
      </c>
      <c r="C63" s="9" t="s">
        <v>1017</v>
      </c>
      <c r="D63" s="9" t="s">
        <v>1034</v>
      </c>
      <c r="E63" s="9" t="s">
        <v>1035</v>
      </c>
      <c r="F63" s="9" t="s">
        <v>1036</v>
      </c>
      <c r="G63" s="9" t="s">
        <v>1037</v>
      </c>
      <c r="L63" s="20">
        <f>$I$20*$L$20</f>
        <v>0</v>
      </c>
      <c r="M63" s="20">
        <f>$I$20*$M$20</f>
        <v>0</v>
      </c>
      <c r="N63" s="20">
        <f>$I$20*$N$20</f>
        <v>0</v>
      </c>
      <c r="O63" s="20">
        <f>$I$20*$O$20</f>
        <v>0</v>
      </c>
      <c r="P63" s="20">
        <f>$I$20*$P$20</f>
        <v>0</v>
      </c>
      <c r="Q63" s="20">
        <f>$I$20*$Q$20</f>
        <v>0</v>
      </c>
      <c r="R63" s="20">
        <f>$I$20*$R$20</f>
        <v>0</v>
      </c>
      <c r="S63" s="20">
        <f>$I$20*$S$20</f>
        <v>0</v>
      </c>
      <c r="T63" s="20">
        <f>$I$20*$T$20</f>
        <v>0</v>
      </c>
      <c r="U63" s="20">
        <f>$I$20*$U$20</f>
        <v>0</v>
      </c>
      <c r="V63" s="20">
        <f>$I$20*$V$20</f>
        <v>0</v>
      </c>
      <c r="X63" s="20">
        <f>$I$20*$X$20</f>
        <v>0</v>
      </c>
      <c r="Y63" s="20">
        <f>$I$20*$Y$20</f>
        <v>0</v>
      </c>
      <c r="Z63" s="20">
        <f>$I$20*$Z$20</f>
        <v>0</v>
      </c>
      <c r="AA63" s="20">
        <f>$I$20*$AA$20</f>
        <v>0</v>
      </c>
      <c r="AB63" s="20">
        <f>$I$20*$AB$20</f>
        <v>0</v>
      </c>
      <c r="AC63" s="20">
        <f>$I$20*$AC$20</f>
        <v>0</v>
      </c>
      <c r="AD63" s="20">
        <f>$I$20*$AD$20</f>
        <v>0</v>
      </c>
      <c r="AE63" s="20">
        <f>$I$20*$AE$20</f>
        <v>0</v>
      </c>
      <c r="AF63" s="20">
        <f>$I$20*$AF$20</f>
        <v>0</v>
      </c>
      <c r="AG63" s="20">
        <f>$I$20*$AG$20</f>
        <v>0</v>
      </c>
      <c r="AH63" s="20">
        <f>$I$20*$AH$20</f>
        <v>0</v>
      </c>
    </row>
    <row r="64" spans="1:34" ht="11.25" customHeight="1" x14ac:dyDescent="0.3">
      <c r="A64" s="9" t="s">
        <v>43</v>
      </c>
      <c r="B64" s="9" t="s">
        <v>1038</v>
      </c>
      <c r="C64" s="9" t="s">
        <v>1039</v>
      </c>
      <c r="D64" s="9" t="s">
        <v>1040</v>
      </c>
      <c r="E64" s="9" t="s">
        <v>1041</v>
      </c>
      <c r="F64" s="9" t="s">
        <v>1042</v>
      </c>
      <c r="G64" s="9" t="s">
        <v>1043</v>
      </c>
      <c r="L64" s="20">
        <f>$I$21*$L$21</f>
        <v>0</v>
      </c>
      <c r="M64" s="20">
        <f>$I$21*$M$21</f>
        <v>0</v>
      </c>
      <c r="N64" s="20">
        <f>$I$21*$N$21</f>
        <v>0</v>
      </c>
      <c r="O64" s="20">
        <f>$I$21*$O$21</f>
        <v>0</v>
      </c>
      <c r="P64" s="20">
        <f>$I$21*$P$21</f>
        <v>0</v>
      </c>
      <c r="Q64" s="20">
        <f>$I$21*$Q$21</f>
        <v>0</v>
      </c>
      <c r="R64" s="20">
        <f>$I$21*$R$21</f>
        <v>0</v>
      </c>
      <c r="S64" s="20">
        <f>$I$21*$S$21</f>
        <v>0</v>
      </c>
      <c r="T64" s="20">
        <f>$I$21*$T$21</f>
        <v>0</v>
      </c>
      <c r="U64" s="20">
        <f>$I$21*$U$21</f>
        <v>0</v>
      </c>
      <c r="V64" s="20">
        <f>$I$21*$V$21</f>
        <v>0</v>
      </c>
      <c r="X64" s="20">
        <f>$I$21*$X$21</f>
        <v>0</v>
      </c>
      <c r="Y64" s="20">
        <f>$I$21*$Y$21</f>
        <v>0</v>
      </c>
      <c r="Z64" s="20">
        <f>$I$21*$Z$21</f>
        <v>0</v>
      </c>
      <c r="AA64" s="20">
        <f>$I$21*$AA$21</f>
        <v>0</v>
      </c>
      <c r="AB64" s="20">
        <f>$I$21*$AB$21</f>
        <v>0</v>
      </c>
      <c r="AC64" s="20">
        <f>$I$21*$AC$21</f>
        <v>0</v>
      </c>
      <c r="AD64" s="20">
        <f>$I$21*$AD$21</f>
        <v>0</v>
      </c>
      <c r="AE64" s="20">
        <f>$I$21*$AE$21</f>
        <v>0</v>
      </c>
      <c r="AF64" s="20">
        <f>$I$21*$AF$21</f>
        <v>0</v>
      </c>
      <c r="AG64" s="20">
        <f>$I$21*$AG$21</f>
        <v>0</v>
      </c>
      <c r="AH64" s="20">
        <f>$I$21*$AH$21</f>
        <v>0</v>
      </c>
    </row>
    <row r="65" spans="1:34" ht="11.25" customHeight="1" x14ac:dyDescent="0.3">
      <c r="A65" s="9" t="s">
        <v>43</v>
      </c>
      <c r="B65" s="9" t="s">
        <v>1038</v>
      </c>
      <c r="C65" s="9" t="s">
        <v>1039</v>
      </c>
      <c r="D65" s="9" t="s">
        <v>1040</v>
      </c>
      <c r="E65" s="9" t="s">
        <v>1041</v>
      </c>
      <c r="F65" s="9" t="s">
        <v>1042</v>
      </c>
      <c r="G65" s="9" t="s">
        <v>1044</v>
      </c>
      <c r="L65" s="20">
        <f>$I$22*$L$22</f>
        <v>0</v>
      </c>
      <c r="M65" s="20">
        <f>$I$22*$M$22</f>
        <v>0</v>
      </c>
      <c r="N65" s="20">
        <f>$I$22*$N$22</f>
        <v>0</v>
      </c>
      <c r="O65" s="20">
        <f>$I$22*$O$22</f>
        <v>0</v>
      </c>
      <c r="P65" s="20">
        <f>$I$22*$P$22</f>
        <v>0</v>
      </c>
      <c r="Q65" s="20">
        <f>$I$22*$Q$22</f>
        <v>0</v>
      </c>
      <c r="R65" s="20">
        <f>$I$22*$R$22</f>
        <v>0</v>
      </c>
      <c r="S65" s="20">
        <f>$I$22*$S$22</f>
        <v>0</v>
      </c>
      <c r="T65" s="20">
        <f>$I$22*$T$22</f>
        <v>0</v>
      </c>
      <c r="U65" s="20">
        <f>$I$22*$U$22</f>
        <v>0</v>
      </c>
      <c r="V65" s="20">
        <f>$I$22*$V$22</f>
        <v>0</v>
      </c>
      <c r="X65" s="20">
        <f>$I$22*$X$22</f>
        <v>0</v>
      </c>
      <c r="Y65" s="20">
        <f>$I$22*$Y$22</f>
        <v>0</v>
      </c>
      <c r="Z65" s="20">
        <f>$I$22*$Z$22</f>
        <v>0</v>
      </c>
      <c r="AA65" s="20">
        <f>$I$22*$AA$22</f>
        <v>0</v>
      </c>
      <c r="AB65" s="20">
        <f>$I$22*$AB$22</f>
        <v>0</v>
      </c>
      <c r="AC65" s="20">
        <f>$I$22*$AC$22</f>
        <v>0</v>
      </c>
      <c r="AD65" s="20">
        <f>$I$22*$AD$22</f>
        <v>0</v>
      </c>
      <c r="AE65" s="20">
        <f>$I$22*$AE$22</f>
        <v>0</v>
      </c>
      <c r="AF65" s="20">
        <f>$I$22*$AF$22</f>
        <v>0</v>
      </c>
      <c r="AG65" s="20">
        <f>$I$22*$AG$22</f>
        <v>0</v>
      </c>
      <c r="AH65" s="20">
        <f>$I$22*$AH$22</f>
        <v>0</v>
      </c>
    </row>
    <row r="66" spans="1:34" ht="11.25" customHeight="1" x14ac:dyDescent="0.3">
      <c r="A66" s="9" t="s">
        <v>43</v>
      </c>
      <c r="B66" s="9" t="s">
        <v>1038</v>
      </c>
      <c r="C66" s="9" t="s">
        <v>1039</v>
      </c>
      <c r="D66" s="9" t="s">
        <v>1040</v>
      </c>
      <c r="E66" s="9" t="s">
        <v>1041</v>
      </c>
      <c r="F66" s="9" t="s">
        <v>1042</v>
      </c>
      <c r="G66" s="9" t="s">
        <v>1045</v>
      </c>
      <c r="L66" s="20">
        <f>$I$23*$L$23</f>
        <v>0</v>
      </c>
      <c r="M66" s="20">
        <f>$I$23*$M$23</f>
        <v>0</v>
      </c>
      <c r="N66" s="20">
        <f>$I$23*$N$23</f>
        <v>0</v>
      </c>
      <c r="O66" s="20">
        <f>$I$23*$O$23</f>
        <v>0</v>
      </c>
      <c r="P66" s="20">
        <f>$I$23*$P$23</f>
        <v>0</v>
      </c>
      <c r="Q66" s="20">
        <f>$I$23*$Q$23</f>
        <v>0</v>
      </c>
      <c r="R66" s="20">
        <f>$I$23*$R$23</f>
        <v>0</v>
      </c>
      <c r="S66" s="20">
        <f>$I$23*$S$23</f>
        <v>0</v>
      </c>
      <c r="T66" s="20">
        <f>$I$23*$T$23</f>
        <v>0</v>
      </c>
      <c r="U66" s="20">
        <f>$I$23*$U$23</f>
        <v>0</v>
      </c>
      <c r="V66" s="20">
        <f>$I$23*$V$23</f>
        <v>0</v>
      </c>
      <c r="X66" s="20">
        <f>$I$23*$X$23</f>
        <v>0</v>
      </c>
      <c r="Y66" s="20">
        <f>$I$23*$Y$23</f>
        <v>0</v>
      </c>
      <c r="Z66" s="20">
        <f>$I$23*$Z$23</f>
        <v>0</v>
      </c>
      <c r="AA66" s="20">
        <f>$I$23*$AA$23</f>
        <v>0</v>
      </c>
      <c r="AB66" s="20">
        <f>$I$23*$AB$23</f>
        <v>0</v>
      </c>
      <c r="AC66" s="20">
        <f>$I$23*$AC$23</f>
        <v>0</v>
      </c>
      <c r="AD66" s="20">
        <f>$I$23*$AD$23</f>
        <v>0</v>
      </c>
      <c r="AE66" s="20">
        <f>$I$23*$AE$23</f>
        <v>0</v>
      </c>
      <c r="AF66" s="20">
        <f>$I$23*$AF$23</f>
        <v>0</v>
      </c>
      <c r="AG66" s="20">
        <f>$I$23*$AG$23</f>
        <v>0</v>
      </c>
      <c r="AH66" s="20">
        <f>$I$23*$AH$23</f>
        <v>0</v>
      </c>
    </row>
    <row r="67" spans="1:34" ht="11.25" customHeight="1" x14ac:dyDescent="0.3">
      <c r="A67" s="9" t="s">
        <v>43</v>
      </c>
      <c r="B67" s="9" t="s">
        <v>1046</v>
      </c>
      <c r="C67" s="9" t="s">
        <v>1047</v>
      </c>
      <c r="D67" s="9" t="s">
        <v>1048</v>
      </c>
      <c r="E67" s="9" t="s">
        <v>1049</v>
      </c>
      <c r="F67" s="9" t="s">
        <v>1050</v>
      </c>
      <c r="G67" s="9" t="s">
        <v>1051</v>
      </c>
      <c r="L67" s="20">
        <f>$I$24*$L$24</f>
        <v>0</v>
      </c>
      <c r="M67" s="20">
        <f>$I$24*$M$24</f>
        <v>0</v>
      </c>
      <c r="N67" s="20">
        <f>$I$24*$N$24</f>
        <v>0</v>
      </c>
      <c r="O67" s="20">
        <f>$I$24*$O$24</f>
        <v>0</v>
      </c>
      <c r="P67" s="20">
        <f>$I$24*$P$24</f>
        <v>0</v>
      </c>
      <c r="Q67" s="20">
        <f>$I$24*$Q$24</f>
        <v>3041204.9638615358</v>
      </c>
      <c r="R67" s="20">
        <f>$I$24*$R$24</f>
        <v>0</v>
      </c>
      <c r="S67" s="20">
        <f>$I$24*$S$24</f>
        <v>0</v>
      </c>
      <c r="T67" s="20">
        <f>$I$24*$T$24</f>
        <v>0</v>
      </c>
      <c r="U67" s="20">
        <f>$I$24*$U$24</f>
        <v>0</v>
      </c>
      <c r="V67" s="20">
        <f>$I$24*$V$24</f>
        <v>0</v>
      </c>
      <c r="X67" s="20">
        <f>$I$24*$X$24</f>
        <v>0</v>
      </c>
      <c r="Y67" s="20">
        <f>$I$24*$Y$24</f>
        <v>0</v>
      </c>
      <c r="Z67" s="20">
        <f>$I$24*$Z$24</f>
        <v>0</v>
      </c>
      <c r="AA67" s="20">
        <f>$I$24*$AA$24</f>
        <v>0</v>
      </c>
      <c r="AB67" s="20">
        <f>$I$24*$AB$24</f>
        <v>0</v>
      </c>
      <c r="AC67" s="20">
        <f>$I$24*$AC$24</f>
        <v>3171136.8157925438</v>
      </c>
      <c r="AD67" s="20">
        <f>$I$24*$AD$24</f>
        <v>0</v>
      </c>
      <c r="AE67" s="20">
        <f>$I$24*$AE$24</f>
        <v>0</v>
      </c>
      <c r="AF67" s="20">
        <f>$I$24*$AF$24</f>
        <v>0</v>
      </c>
      <c r="AG67" s="20">
        <f>$I$24*$AG$24</f>
        <v>0</v>
      </c>
      <c r="AH67" s="20">
        <f>$I$24*$AH$24</f>
        <v>0</v>
      </c>
    </row>
    <row r="68" spans="1:34" ht="11.25" customHeight="1" x14ac:dyDescent="0.3">
      <c r="A68" s="9" t="s">
        <v>43</v>
      </c>
      <c r="B68" s="9" t="s">
        <v>1038</v>
      </c>
      <c r="C68" s="9" t="s">
        <v>1039</v>
      </c>
      <c r="D68" s="9" t="s">
        <v>1052</v>
      </c>
      <c r="E68" s="9" t="s">
        <v>1053</v>
      </c>
      <c r="F68" s="9" t="s">
        <v>1054</v>
      </c>
      <c r="G68" s="9" t="s">
        <v>1055</v>
      </c>
      <c r="L68" s="20">
        <f>$I$25*$L$25</f>
        <v>0</v>
      </c>
      <c r="M68" s="20">
        <f>$I$25*$M$25</f>
        <v>0</v>
      </c>
      <c r="N68" s="20">
        <f>$I$25*$N$25</f>
        <v>0</v>
      </c>
      <c r="O68" s="20">
        <f>$I$25*$O$25</f>
        <v>0</v>
      </c>
      <c r="P68" s="20">
        <f>$I$25*$P$25</f>
        <v>0</v>
      </c>
      <c r="Q68" s="20">
        <f>$I$25*$Q$25</f>
        <v>0</v>
      </c>
      <c r="R68" s="20">
        <f>$I$25*$R$25</f>
        <v>0</v>
      </c>
      <c r="S68" s="20">
        <f>$I$25*$S$25</f>
        <v>0</v>
      </c>
      <c r="T68" s="20">
        <f>$I$25*$T$25</f>
        <v>0</v>
      </c>
      <c r="U68" s="20">
        <f>$I$25*$U$25</f>
        <v>0</v>
      </c>
      <c r="V68" s="20">
        <f>$I$25*$V$25</f>
        <v>0</v>
      </c>
      <c r="X68" s="20">
        <f>$I$25*$X$25</f>
        <v>0</v>
      </c>
      <c r="Y68" s="20">
        <f>$I$25*$Y$25</f>
        <v>0</v>
      </c>
      <c r="Z68" s="20">
        <f>$I$25*$Z$25</f>
        <v>0</v>
      </c>
      <c r="AA68" s="20">
        <f>$I$25*$AA$25</f>
        <v>0</v>
      </c>
      <c r="AB68" s="20">
        <f>$I$25*$AB$25</f>
        <v>0</v>
      </c>
      <c r="AC68" s="20">
        <f>$I$25*$AC$25</f>
        <v>0</v>
      </c>
      <c r="AD68" s="20">
        <f>$I$25*$AD$25</f>
        <v>0</v>
      </c>
      <c r="AE68" s="20">
        <f>$I$25*$AE$25</f>
        <v>0</v>
      </c>
      <c r="AF68" s="20">
        <f>$I$25*$AF$25</f>
        <v>0</v>
      </c>
      <c r="AG68" s="20">
        <f>$I$25*$AG$25</f>
        <v>0</v>
      </c>
      <c r="AH68" s="20">
        <f>$I$25*$AH$25</f>
        <v>0</v>
      </c>
    </row>
    <row r="69" spans="1:34" ht="11.25" customHeight="1" x14ac:dyDescent="0.3">
      <c r="A69" s="9" t="s">
        <v>43</v>
      </c>
      <c r="B69" s="9" t="s">
        <v>1038</v>
      </c>
      <c r="C69" s="9" t="s">
        <v>1039</v>
      </c>
      <c r="D69" s="9" t="s">
        <v>1052</v>
      </c>
      <c r="E69" s="9" t="s">
        <v>1053</v>
      </c>
      <c r="F69" s="9" t="s">
        <v>1054</v>
      </c>
      <c r="G69" s="9" t="s">
        <v>1056</v>
      </c>
      <c r="L69" s="20">
        <f>$I$26*$L$26</f>
        <v>0</v>
      </c>
      <c r="M69" s="20">
        <f>$I$26*$M$26</f>
        <v>0</v>
      </c>
      <c r="N69" s="20">
        <f>$I$26*$N$26</f>
        <v>0</v>
      </c>
      <c r="O69" s="20">
        <f>$I$26*$O$26</f>
        <v>0</v>
      </c>
      <c r="P69" s="20">
        <f>$I$26*$P$26</f>
        <v>0</v>
      </c>
      <c r="Q69" s="20">
        <f>$I$26*$Q$26</f>
        <v>0</v>
      </c>
      <c r="R69" s="20">
        <f>$I$26*$R$26</f>
        <v>0</v>
      </c>
      <c r="S69" s="20">
        <f>$I$26*$S$26</f>
        <v>0</v>
      </c>
      <c r="T69" s="20">
        <f>$I$26*$T$26</f>
        <v>0</v>
      </c>
      <c r="U69" s="20">
        <f>$I$26*$U$26</f>
        <v>0</v>
      </c>
      <c r="V69" s="20">
        <f>$I$26*$V$26</f>
        <v>0</v>
      </c>
      <c r="X69" s="20">
        <f>$I$26*$X$26</f>
        <v>0</v>
      </c>
      <c r="Y69" s="20">
        <f>$I$26*$Y$26</f>
        <v>0</v>
      </c>
      <c r="Z69" s="20">
        <f>$I$26*$Z$26</f>
        <v>0</v>
      </c>
      <c r="AA69" s="20">
        <f>$I$26*$AA$26</f>
        <v>0</v>
      </c>
      <c r="AB69" s="20">
        <f>$I$26*$AB$26</f>
        <v>0</v>
      </c>
      <c r="AC69" s="20">
        <f>$I$26*$AC$26</f>
        <v>0</v>
      </c>
      <c r="AD69" s="20">
        <f>$I$26*$AD$26</f>
        <v>0</v>
      </c>
      <c r="AE69" s="20">
        <f>$I$26*$AE$26</f>
        <v>0</v>
      </c>
      <c r="AF69" s="20">
        <f>$I$26*$AF$26</f>
        <v>0</v>
      </c>
      <c r="AG69" s="20">
        <f>$I$26*$AG$26</f>
        <v>0</v>
      </c>
      <c r="AH69" s="20">
        <f>$I$26*$AH$26</f>
        <v>0</v>
      </c>
    </row>
    <row r="70" spans="1:34" ht="11.25" customHeight="1" x14ac:dyDescent="0.3">
      <c r="A70" s="9" t="s">
        <v>43</v>
      </c>
      <c r="B70" s="9" t="s">
        <v>1038</v>
      </c>
      <c r="C70" s="9" t="s">
        <v>1039</v>
      </c>
      <c r="D70" s="9" t="s">
        <v>1052</v>
      </c>
      <c r="E70" s="9" t="s">
        <v>1053</v>
      </c>
      <c r="F70" s="9" t="s">
        <v>1054</v>
      </c>
      <c r="G70" s="9" t="s">
        <v>1057</v>
      </c>
      <c r="L70" s="20">
        <f>$I$27*$L$27</f>
        <v>0</v>
      </c>
      <c r="M70" s="20">
        <f>$I$27*$M$27</f>
        <v>0</v>
      </c>
      <c r="N70" s="20">
        <f>$I$27*$N$27</f>
        <v>0</v>
      </c>
      <c r="O70" s="20">
        <f>$I$27*$O$27</f>
        <v>0</v>
      </c>
      <c r="P70" s="20">
        <f>$I$27*$P$27</f>
        <v>0</v>
      </c>
      <c r="Q70" s="20">
        <f>$I$27*$Q$27</f>
        <v>0</v>
      </c>
      <c r="R70" s="20">
        <f>$I$27*$R$27</f>
        <v>0</v>
      </c>
      <c r="S70" s="20">
        <f>$I$27*$S$27</f>
        <v>0</v>
      </c>
      <c r="T70" s="20">
        <f>$I$27*$T$27</f>
        <v>0</v>
      </c>
      <c r="U70" s="20">
        <f>$I$27*$U$27</f>
        <v>0</v>
      </c>
      <c r="V70" s="20">
        <f>$I$27*$V$27</f>
        <v>0</v>
      </c>
      <c r="X70" s="20">
        <f>$I$27*$X$27</f>
        <v>0</v>
      </c>
      <c r="Y70" s="20">
        <f>$I$27*$Y$27</f>
        <v>0</v>
      </c>
      <c r="Z70" s="20">
        <f>$I$27*$Z$27</f>
        <v>0</v>
      </c>
      <c r="AA70" s="20">
        <f>$I$27*$AA$27</f>
        <v>0</v>
      </c>
      <c r="AB70" s="20">
        <f>$I$27*$AB$27</f>
        <v>0</v>
      </c>
      <c r="AC70" s="20">
        <f>$I$27*$AC$27</f>
        <v>0</v>
      </c>
      <c r="AD70" s="20">
        <f>$I$27*$AD$27</f>
        <v>0</v>
      </c>
      <c r="AE70" s="20">
        <f>$I$27*$AE$27</f>
        <v>0</v>
      </c>
      <c r="AF70" s="20">
        <f>$I$27*$AF$27</f>
        <v>0</v>
      </c>
      <c r="AG70" s="20">
        <f>$I$27*$AG$27</f>
        <v>0</v>
      </c>
      <c r="AH70" s="20">
        <f>$I$27*$AH$27</f>
        <v>0</v>
      </c>
    </row>
    <row r="71" spans="1:34" ht="11.25" customHeight="1" x14ac:dyDescent="0.3">
      <c r="A71" s="9" t="s">
        <v>43</v>
      </c>
      <c r="B71" s="9" t="s">
        <v>1046</v>
      </c>
      <c r="C71" s="9" t="s">
        <v>1047</v>
      </c>
      <c r="D71" s="9" t="s">
        <v>1058</v>
      </c>
      <c r="E71" s="9" t="s">
        <v>1059</v>
      </c>
      <c r="F71" s="9" t="s">
        <v>1060</v>
      </c>
      <c r="G71" s="9" t="s">
        <v>1061</v>
      </c>
      <c r="L71" s="20">
        <f>$I$28*$L$28</f>
        <v>0</v>
      </c>
      <c r="M71" s="20">
        <f>$I$28*$M$28</f>
        <v>0</v>
      </c>
      <c r="N71" s="20">
        <f>$I$28*$N$28</f>
        <v>0</v>
      </c>
      <c r="O71" s="20">
        <f>$I$28*$O$28</f>
        <v>0</v>
      </c>
      <c r="P71" s="20">
        <f>$I$28*$P$28</f>
        <v>0</v>
      </c>
      <c r="Q71" s="20">
        <f>$I$28*$Q$28</f>
        <v>0</v>
      </c>
      <c r="R71" s="20">
        <f>$I$28*$R$28</f>
        <v>0</v>
      </c>
      <c r="S71" s="20">
        <f>$I$28*$S$28</f>
        <v>0</v>
      </c>
      <c r="T71" s="20">
        <f>$I$28*$T$28</f>
        <v>0</v>
      </c>
      <c r="U71" s="20">
        <f>$I$28*$U$28</f>
        <v>0</v>
      </c>
      <c r="V71" s="20">
        <f>$I$28*$V$28</f>
        <v>0</v>
      </c>
      <c r="X71" s="20">
        <f>$I$28*$X$28</f>
        <v>0</v>
      </c>
      <c r="Y71" s="20">
        <f>$I$28*$Y$28</f>
        <v>0</v>
      </c>
      <c r="Z71" s="20">
        <f>$I$28*$Z$28</f>
        <v>0</v>
      </c>
      <c r="AA71" s="20">
        <f>$I$28*$AA$28</f>
        <v>0</v>
      </c>
      <c r="AB71" s="20">
        <f>$I$28*$AB$28</f>
        <v>0</v>
      </c>
      <c r="AC71" s="20">
        <f>$I$28*$AC$28</f>
        <v>0</v>
      </c>
      <c r="AD71" s="20">
        <f>$I$28*$AD$28</f>
        <v>0</v>
      </c>
      <c r="AE71" s="20">
        <f>$I$28*$AE$28</f>
        <v>0</v>
      </c>
      <c r="AF71" s="20">
        <f>$I$28*$AF$28</f>
        <v>0</v>
      </c>
      <c r="AG71" s="20">
        <f>$I$28*$AG$28</f>
        <v>0</v>
      </c>
      <c r="AH71" s="20">
        <f>$I$28*$AH$28</f>
        <v>0</v>
      </c>
    </row>
    <row r="72" spans="1:34" ht="11.25" customHeight="1" x14ac:dyDescent="0.3">
      <c r="A72" s="9" t="s">
        <v>43</v>
      </c>
      <c r="B72" s="9" t="s">
        <v>1038</v>
      </c>
      <c r="C72" s="9" t="s">
        <v>1039</v>
      </c>
      <c r="D72" s="9" t="s">
        <v>1062</v>
      </c>
      <c r="E72" s="9" t="s">
        <v>1063</v>
      </c>
      <c r="F72" s="9" t="s">
        <v>1064</v>
      </c>
      <c r="G72" s="9" t="s">
        <v>1065</v>
      </c>
      <c r="L72" s="20">
        <f>$I$29*$L$29</f>
        <v>0</v>
      </c>
      <c r="M72" s="20">
        <f>$I$29*$M$29</f>
        <v>0</v>
      </c>
      <c r="N72" s="20">
        <f>$I$29*$N$29</f>
        <v>0</v>
      </c>
      <c r="O72" s="20">
        <f>$I$29*$O$29</f>
        <v>0</v>
      </c>
      <c r="P72" s="20">
        <f>$I$29*$P$29</f>
        <v>0</v>
      </c>
      <c r="Q72" s="20">
        <f>$I$29*$Q$29</f>
        <v>0</v>
      </c>
      <c r="R72" s="20">
        <f>$I$29*$R$29</f>
        <v>0</v>
      </c>
      <c r="S72" s="20">
        <f>$I$29*$S$29</f>
        <v>0</v>
      </c>
      <c r="T72" s="20">
        <f>$I$29*$T$29</f>
        <v>0</v>
      </c>
      <c r="U72" s="20">
        <f>$I$29*$U$29</f>
        <v>0</v>
      </c>
      <c r="V72" s="20">
        <f>$I$29*$V$29</f>
        <v>0</v>
      </c>
      <c r="X72" s="20">
        <f>$I$29*$X$29</f>
        <v>0</v>
      </c>
      <c r="Y72" s="20">
        <f>$I$29*$Y$29</f>
        <v>0</v>
      </c>
      <c r="Z72" s="20">
        <f>$I$29*$Z$29</f>
        <v>0</v>
      </c>
      <c r="AA72" s="20">
        <f>$I$29*$AA$29</f>
        <v>0</v>
      </c>
      <c r="AB72" s="20">
        <f>$I$29*$AB$29</f>
        <v>0</v>
      </c>
      <c r="AC72" s="20">
        <f>$I$29*$AC$29</f>
        <v>0</v>
      </c>
      <c r="AD72" s="20">
        <f>$I$29*$AD$29</f>
        <v>0</v>
      </c>
      <c r="AE72" s="20">
        <f>$I$29*$AE$29</f>
        <v>0</v>
      </c>
      <c r="AF72" s="20">
        <f>$I$29*$AF$29</f>
        <v>0</v>
      </c>
      <c r="AG72" s="20">
        <f>$I$29*$AG$29</f>
        <v>0</v>
      </c>
      <c r="AH72" s="20">
        <f>$I$29*$AH$29</f>
        <v>0</v>
      </c>
    </row>
    <row r="73" spans="1:34" ht="11.25" customHeight="1" x14ac:dyDescent="0.3">
      <c r="A73" s="9" t="s">
        <v>43</v>
      </c>
      <c r="B73" s="9" t="s">
        <v>1038</v>
      </c>
      <c r="C73" s="9" t="s">
        <v>1039</v>
      </c>
      <c r="D73" s="9" t="s">
        <v>1062</v>
      </c>
      <c r="E73" s="9" t="s">
        <v>1063</v>
      </c>
      <c r="F73" s="9" t="s">
        <v>1064</v>
      </c>
      <c r="G73" s="9" t="s">
        <v>1066</v>
      </c>
      <c r="L73" s="20">
        <f>$I$30*$L$30</f>
        <v>0</v>
      </c>
      <c r="M73" s="20">
        <f>$I$30*$M$30</f>
        <v>0</v>
      </c>
      <c r="N73" s="20">
        <f>$I$30*$N$30</f>
        <v>0</v>
      </c>
      <c r="O73" s="20">
        <f>$I$30*$O$30</f>
        <v>0</v>
      </c>
      <c r="P73" s="20">
        <f>$I$30*$P$30</f>
        <v>0</v>
      </c>
      <c r="Q73" s="20">
        <f>$I$30*$Q$30</f>
        <v>0</v>
      </c>
      <c r="R73" s="20">
        <f>$I$30*$R$30</f>
        <v>0</v>
      </c>
      <c r="S73" s="20">
        <f>$I$30*$S$30</f>
        <v>0</v>
      </c>
      <c r="T73" s="20">
        <f>$I$30*$T$30</f>
        <v>0</v>
      </c>
      <c r="U73" s="20">
        <f>$I$30*$U$30</f>
        <v>0</v>
      </c>
      <c r="V73" s="20">
        <f>$I$30*$V$30</f>
        <v>0</v>
      </c>
      <c r="X73" s="20">
        <f>$I$30*$X$30</f>
        <v>0</v>
      </c>
      <c r="Y73" s="20">
        <f>$I$30*$Y$30</f>
        <v>0</v>
      </c>
      <c r="Z73" s="20">
        <f>$I$30*$Z$30</f>
        <v>0</v>
      </c>
      <c r="AA73" s="20">
        <f>$I$30*$AA$30</f>
        <v>0</v>
      </c>
      <c r="AB73" s="20">
        <f>$I$30*$AB$30</f>
        <v>0</v>
      </c>
      <c r="AC73" s="20">
        <f>$I$30*$AC$30</f>
        <v>0</v>
      </c>
      <c r="AD73" s="20">
        <f>$I$30*$AD$30</f>
        <v>0</v>
      </c>
      <c r="AE73" s="20">
        <f>$I$30*$AE$30</f>
        <v>0</v>
      </c>
      <c r="AF73" s="20">
        <f>$I$30*$AF$30</f>
        <v>0</v>
      </c>
      <c r="AG73" s="20">
        <f>$I$30*$AG$30</f>
        <v>0</v>
      </c>
      <c r="AH73" s="20">
        <f>$I$30*$AH$30</f>
        <v>0</v>
      </c>
    </row>
    <row r="74" spans="1:34" ht="11.25" customHeight="1" x14ac:dyDescent="0.3">
      <c r="A74" s="9" t="s">
        <v>43</v>
      </c>
      <c r="B74" s="9" t="s">
        <v>1038</v>
      </c>
      <c r="C74" s="9" t="s">
        <v>1039</v>
      </c>
      <c r="D74" s="9" t="s">
        <v>1062</v>
      </c>
      <c r="E74" s="9" t="s">
        <v>1063</v>
      </c>
      <c r="F74" s="9" t="s">
        <v>1064</v>
      </c>
      <c r="G74" s="9" t="s">
        <v>1067</v>
      </c>
      <c r="L74" s="20">
        <f>$I$31*$L$31</f>
        <v>0</v>
      </c>
      <c r="M74" s="20">
        <f>$I$31*$M$31</f>
        <v>0</v>
      </c>
      <c r="N74" s="20">
        <f>$I$31*$N$31</f>
        <v>0</v>
      </c>
      <c r="O74" s="20">
        <f>$I$31*$O$31</f>
        <v>0</v>
      </c>
      <c r="P74" s="20">
        <f>$I$31*$P$31</f>
        <v>0</v>
      </c>
      <c r="Q74" s="20">
        <f>$I$31*$Q$31</f>
        <v>0</v>
      </c>
      <c r="R74" s="20">
        <f>$I$31*$R$31</f>
        <v>0</v>
      </c>
      <c r="S74" s="20">
        <f>$I$31*$S$31</f>
        <v>0</v>
      </c>
      <c r="T74" s="20">
        <f>$I$31*$T$31</f>
        <v>0</v>
      </c>
      <c r="U74" s="20">
        <f>$I$31*$U$31</f>
        <v>0</v>
      </c>
      <c r="V74" s="20">
        <f>$I$31*$V$31</f>
        <v>0</v>
      </c>
      <c r="X74" s="20">
        <f>$I$31*$X$31</f>
        <v>0</v>
      </c>
      <c r="Y74" s="20">
        <f>$I$31*$Y$31</f>
        <v>0</v>
      </c>
      <c r="Z74" s="20">
        <f>$I$31*$Z$31</f>
        <v>0</v>
      </c>
      <c r="AA74" s="20">
        <f>$I$31*$AA$31</f>
        <v>0</v>
      </c>
      <c r="AB74" s="20">
        <f>$I$31*$AB$31</f>
        <v>0</v>
      </c>
      <c r="AC74" s="20">
        <f>$I$31*$AC$31</f>
        <v>0</v>
      </c>
      <c r="AD74" s="20">
        <f>$I$31*$AD$31</f>
        <v>0</v>
      </c>
      <c r="AE74" s="20">
        <f>$I$31*$AE$31</f>
        <v>0</v>
      </c>
      <c r="AF74" s="20">
        <f>$I$31*$AF$31</f>
        <v>0</v>
      </c>
      <c r="AG74" s="20">
        <f>$I$31*$AG$31</f>
        <v>0</v>
      </c>
      <c r="AH74" s="20">
        <f>$I$31*$AH$31</f>
        <v>0</v>
      </c>
    </row>
    <row r="75" spans="1:34" ht="11.25" customHeight="1" x14ac:dyDescent="0.3">
      <c r="A75" s="9" t="s">
        <v>43</v>
      </c>
      <c r="B75" s="9" t="s">
        <v>1046</v>
      </c>
      <c r="C75" s="9" t="s">
        <v>1047</v>
      </c>
      <c r="D75" s="9" t="s">
        <v>1068</v>
      </c>
      <c r="E75" s="9" t="s">
        <v>1069</v>
      </c>
      <c r="F75" s="9" t="s">
        <v>1070</v>
      </c>
      <c r="G75" s="9" t="s">
        <v>1071</v>
      </c>
      <c r="L75" s="20">
        <f>$I$32*$L$32</f>
        <v>0</v>
      </c>
      <c r="M75" s="20">
        <f>$I$32*$M$32</f>
        <v>0</v>
      </c>
      <c r="N75" s="20">
        <f>$I$32*$N$32</f>
        <v>0</v>
      </c>
      <c r="O75" s="20">
        <f>$I$32*$O$32</f>
        <v>0</v>
      </c>
      <c r="P75" s="20">
        <f>$I$32*$P$32</f>
        <v>0</v>
      </c>
      <c r="Q75" s="20">
        <f>$I$32*$Q$32</f>
        <v>0</v>
      </c>
      <c r="R75" s="20">
        <f>$I$32*$R$32</f>
        <v>0</v>
      </c>
      <c r="S75" s="20">
        <f>$I$32*$S$32</f>
        <v>0</v>
      </c>
      <c r="T75" s="20">
        <f>$I$32*$T$32</f>
        <v>0</v>
      </c>
      <c r="U75" s="20">
        <f>$I$32*$U$32</f>
        <v>0</v>
      </c>
      <c r="V75" s="20">
        <f>$I$32*$V$32</f>
        <v>0</v>
      </c>
      <c r="X75" s="20">
        <f>$I$32*$X$32</f>
        <v>0</v>
      </c>
      <c r="Y75" s="20">
        <f>$I$32*$Y$32</f>
        <v>0</v>
      </c>
      <c r="Z75" s="20">
        <f>$I$32*$Z$32</f>
        <v>0</v>
      </c>
      <c r="AA75" s="20">
        <f>$I$32*$AA$32</f>
        <v>0</v>
      </c>
      <c r="AB75" s="20">
        <f>$I$32*$AB$32</f>
        <v>0</v>
      </c>
      <c r="AC75" s="20">
        <f>$I$32*$AC$32</f>
        <v>0</v>
      </c>
      <c r="AD75" s="20">
        <f>$I$32*$AD$32</f>
        <v>0</v>
      </c>
      <c r="AE75" s="20">
        <f>$I$32*$AE$32</f>
        <v>0</v>
      </c>
      <c r="AF75" s="20">
        <f>$I$32*$AF$32</f>
        <v>0</v>
      </c>
      <c r="AG75" s="20">
        <f>$I$32*$AG$32</f>
        <v>0</v>
      </c>
      <c r="AH75" s="20">
        <f>$I$32*$AH$32</f>
        <v>0</v>
      </c>
    </row>
    <row r="76" spans="1:34" ht="11.25" customHeight="1" x14ac:dyDescent="0.3">
      <c r="A76" s="9" t="s">
        <v>43</v>
      </c>
      <c r="B76" s="9" t="s">
        <v>1072</v>
      </c>
      <c r="C76" s="9" t="s">
        <v>1073</v>
      </c>
      <c r="D76" s="9" t="s">
        <v>1074</v>
      </c>
      <c r="E76" s="9" t="s">
        <v>1075</v>
      </c>
      <c r="F76" s="9" t="s">
        <v>1076</v>
      </c>
      <c r="G76" s="9" t="s">
        <v>1077</v>
      </c>
      <c r="L76" s="20">
        <f>$I$33*$L$33</f>
        <v>0</v>
      </c>
      <c r="M76" s="20">
        <f>$I$33*$M$33</f>
        <v>0</v>
      </c>
      <c r="N76" s="20">
        <f>$I$33*$N$33</f>
        <v>0</v>
      </c>
      <c r="O76" s="20">
        <f>$I$33*$O$33</f>
        <v>0</v>
      </c>
      <c r="P76" s="20">
        <f>$I$33*$P$33</f>
        <v>0</v>
      </c>
      <c r="Q76" s="20">
        <f>$I$33*$Q$33</f>
        <v>0</v>
      </c>
      <c r="R76" s="20">
        <f>$I$33*$R$33</f>
        <v>0</v>
      </c>
      <c r="S76" s="20">
        <f>$I$33*$S$33</f>
        <v>0</v>
      </c>
      <c r="T76" s="20">
        <f>$I$33*$T$33</f>
        <v>0</v>
      </c>
      <c r="U76" s="20">
        <f>$I$33*$U$33</f>
        <v>0</v>
      </c>
      <c r="V76" s="20">
        <f>$I$33*$V$33</f>
        <v>0</v>
      </c>
      <c r="X76" s="20">
        <f>$I$33*$X$33</f>
        <v>0</v>
      </c>
      <c r="Y76" s="20">
        <f>$I$33*$Y$33</f>
        <v>0</v>
      </c>
      <c r="Z76" s="20">
        <f>$I$33*$Z$33</f>
        <v>0</v>
      </c>
      <c r="AA76" s="20">
        <f>$I$33*$AA$33</f>
        <v>0</v>
      </c>
      <c r="AB76" s="20">
        <f>$I$33*$AB$33</f>
        <v>0</v>
      </c>
      <c r="AC76" s="20">
        <f>$I$33*$AC$33</f>
        <v>0</v>
      </c>
      <c r="AD76" s="20">
        <f>$I$33*$AD$33</f>
        <v>0</v>
      </c>
      <c r="AE76" s="20">
        <f>$I$33*$AE$33</f>
        <v>0</v>
      </c>
      <c r="AF76" s="20">
        <f>$I$33*$AF$33</f>
        <v>0</v>
      </c>
      <c r="AG76" s="20">
        <f>$I$33*$AG$33</f>
        <v>0</v>
      </c>
      <c r="AH76" s="20">
        <f>$I$33*$AH$33</f>
        <v>0</v>
      </c>
    </row>
    <row r="77" spans="1:34" ht="11.25" customHeight="1" x14ac:dyDescent="0.3">
      <c r="A77" s="9" t="s">
        <v>43</v>
      </c>
      <c r="B77" s="9" t="s">
        <v>1072</v>
      </c>
      <c r="C77" s="9" t="s">
        <v>1073</v>
      </c>
      <c r="D77" s="9" t="s">
        <v>1078</v>
      </c>
      <c r="E77" s="9" t="s">
        <v>1079</v>
      </c>
      <c r="F77" s="9" t="s">
        <v>1080</v>
      </c>
      <c r="G77" s="9" t="s">
        <v>1081</v>
      </c>
      <c r="L77" s="20">
        <f>$I$34*$L$34</f>
        <v>0</v>
      </c>
      <c r="M77" s="20">
        <f>$I$34*$M$34</f>
        <v>0</v>
      </c>
      <c r="N77" s="20">
        <f>$I$34*$N$34</f>
        <v>0</v>
      </c>
      <c r="O77" s="20">
        <f>$I$34*$O$34</f>
        <v>0</v>
      </c>
      <c r="P77" s="20">
        <f>$I$34*$P$34</f>
        <v>0</v>
      </c>
      <c r="Q77" s="20">
        <f>$I$34*$Q$34</f>
        <v>0</v>
      </c>
      <c r="R77" s="20">
        <f>$I$34*$R$34</f>
        <v>0</v>
      </c>
      <c r="S77" s="20">
        <f>$I$34*$S$34</f>
        <v>0</v>
      </c>
      <c r="T77" s="20">
        <f>$I$34*$T$34</f>
        <v>0</v>
      </c>
      <c r="U77" s="20">
        <f>$I$34*$U$34</f>
        <v>0</v>
      </c>
      <c r="V77" s="20">
        <f>$I$34*$V$34</f>
        <v>0</v>
      </c>
      <c r="X77" s="20">
        <f>$I$34*$X$34</f>
        <v>0</v>
      </c>
      <c r="Y77" s="20">
        <f>$I$34*$Y$34</f>
        <v>0</v>
      </c>
      <c r="Z77" s="20">
        <f>$I$34*$Z$34</f>
        <v>0</v>
      </c>
      <c r="AA77" s="20">
        <f>$I$34*$AA$34</f>
        <v>0</v>
      </c>
      <c r="AB77" s="20">
        <f>$I$34*$AB$34</f>
        <v>0</v>
      </c>
      <c r="AC77" s="20">
        <f>$I$34*$AC$34</f>
        <v>0</v>
      </c>
      <c r="AD77" s="20">
        <f>$I$34*$AD$34</f>
        <v>0</v>
      </c>
      <c r="AE77" s="20">
        <f>$I$34*$AE$34</f>
        <v>0</v>
      </c>
      <c r="AF77" s="20">
        <f>$I$34*$AF$34</f>
        <v>0</v>
      </c>
      <c r="AG77" s="20">
        <f>$I$34*$AG$34</f>
        <v>0</v>
      </c>
      <c r="AH77" s="20">
        <f>$I$34*$AH$34</f>
        <v>0</v>
      </c>
    </row>
    <row r="78" spans="1:34" ht="11.25" customHeight="1" x14ac:dyDescent="0.3">
      <c r="A78" s="9" t="s">
        <v>43</v>
      </c>
      <c r="B78" s="9" t="s">
        <v>1072</v>
      </c>
      <c r="C78" s="9" t="s">
        <v>1073</v>
      </c>
      <c r="D78" s="9" t="s">
        <v>1082</v>
      </c>
      <c r="E78" s="9" t="s">
        <v>1083</v>
      </c>
      <c r="F78" s="9" t="s">
        <v>1084</v>
      </c>
      <c r="G78" s="9" t="s">
        <v>1085</v>
      </c>
      <c r="L78" s="20">
        <f>$I$35*$L$35</f>
        <v>0</v>
      </c>
      <c r="M78" s="20">
        <f>$I$35*$M$35</f>
        <v>0</v>
      </c>
      <c r="N78" s="20">
        <f>$I$35*$N$35</f>
        <v>0</v>
      </c>
      <c r="O78" s="20">
        <f>$I$35*$O$35</f>
        <v>0</v>
      </c>
      <c r="P78" s="20">
        <f>$I$35*$P$35</f>
        <v>0</v>
      </c>
      <c r="Q78" s="20">
        <f>$I$35*$Q$35</f>
        <v>0</v>
      </c>
      <c r="R78" s="20">
        <f>$I$35*$R$35</f>
        <v>0</v>
      </c>
      <c r="S78" s="20">
        <f>$I$35*$S$35</f>
        <v>0</v>
      </c>
      <c r="T78" s="20">
        <f>$I$35*$T$35</f>
        <v>0</v>
      </c>
      <c r="U78" s="20">
        <f>$I$35*$U$35</f>
        <v>0</v>
      </c>
      <c r="V78" s="20">
        <f>$I$35*$V$35</f>
        <v>0</v>
      </c>
      <c r="X78" s="20">
        <f>$I$35*$X$35</f>
        <v>0</v>
      </c>
      <c r="Y78" s="20">
        <f>$I$35*$Y$35</f>
        <v>0</v>
      </c>
      <c r="Z78" s="20">
        <f>$I$35*$Z$35</f>
        <v>0</v>
      </c>
      <c r="AA78" s="20">
        <f>$I$35*$AA$35</f>
        <v>0</v>
      </c>
      <c r="AB78" s="20">
        <f>$I$35*$AB$35</f>
        <v>0</v>
      </c>
      <c r="AC78" s="20">
        <f>$I$35*$AC$35</f>
        <v>0</v>
      </c>
      <c r="AD78" s="20">
        <f>$I$35*$AD$35</f>
        <v>0</v>
      </c>
      <c r="AE78" s="20">
        <f>$I$35*$AE$35</f>
        <v>0</v>
      </c>
      <c r="AF78" s="20">
        <f>$I$35*$AF$35</f>
        <v>0</v>
      </c>
      <c r="AG78" s="20">
        <f>$I$35*$AG$35</f>
        <v>0</v>
      </c>
      <c r="AH78" s="20">
        <f>$I$35*$AH$35</f>
        <v>0</v>
      </c>
    </row>
    <row r="79" spans="1:34" ht="11.25" customHeight="1" x14ac:dyDescent="0.3">
      <c r="A79" s="9" t="s">
        <v>35</v>
      </c>
      <c r="B79" s="9" t="s">
        <v>1086</v>
      </c>
      <c r="C79" s="9" t="s">
        <v>1087</v>
      </c>
      <c r="D79" s="9" t="s">
        <v>1088</v>
      </c>
      <c r="E79" s="9" t="s">
        <v>1089</v>
      </c>
      <c r="F79" s="9" t="s">
        <v>1090</v>
      </c>
      <c r="G79" s="9" t="s">
        <v>1091</v>
      </c>
      <c r="L79" s="20">
        <f>$I$36*$L$36</f>
        <v>0</v>
      </c>
      <c r="M79" s="20">
        <f>$I$36*$M$36</f>
        <v>0</v>
      </c>
      <c r="N79" s="20">
        <f>$I$36*$N$36</f>
        <v>0</v>
      </c>
      <c r="O79" s="20">
        <f>$I$36*$O$36</f>
        <v>0</v>
      </c>
      <c r="P79" s="20">
        <f>$I$36*$P$36</f>
        <v>0</v>
      </c>
      <c r="Q79" s="20">
        <f>$I$36*$Q$36</f>
        <v>124.40556962638617</v>
      </c>
      <c r="R79" s="20">
        <f>$I$36*$R$36</f>
        <v>0</v>
      </c>
      <c r="S79" s="20">
        <f>$I$36*$S$36</f>
        <v>0</v>
      </c>
      <c r="T79" s="20">
        <f>$I$36*$T$36</f>
        <v>0</v>
      </c>
      <c r="U79" s="20">
        <f>$I$36*$U$36</f>
        <v>0</v>
      </c>
      <c r="V79" s="20">
        <f>$I$36*$V$36</f>
        <v>0</v>
      </c>
      <c r="X79" s="20">
        <f>$I$36*$X$36</f>
        <v>0</v>
      </c>
      <c r="Y79" s="20">
        <f>$I$36*$Y$36</f>
        <v>0</v>
      </c>
      <c r="Z79" s="20">
        <f>$I$36*$Z$36</f>
        <v>0</v>
      </c>
      <c r="AA79" s="20">
        <f>$I$36*$AA$36</f>
        <v>0</v>
      </c>
      <c r="AB79" s="20">
        <f>$I$36*$AB$36</f>
        <v>0</v>
      </c>
      <c r="AC79" s="20">
        <f>$I$36*$AC$36</f>
        <v>138.56523880209639</v>
      </c>
      <c r="AD79" s="20">
        <f>$I$36*$AD$36</f>
        <v>0</v>
      </c>
      <c r="AE79" s="20">
        <f>$I$36*$AE$36</f>
        <v>0</v>
      </c>
      <c r="AF79" s="20">
        <f>$I$36*$AF$36</f>
        <v>0</v>
      </c>
      <c r="AG79" s="20">
        <f>$I$36*$AG$36</f>
        <v>0</v>
      </c>
      <c r="AH79" s="20">
        <f>$I$36*$AH$36</f>
        <v>0</v>
      </c>
    </row>
    <row r="80" spans="1:34" ht="11.25" customHeight="1" x14ac:dyDescent="0.3">
      <c r="A80" s="9" t="s">
        <v>35</v>
      </c>
      <c r="B80" s="9" t="s">
        <v>1086</v>
      </c>
      <c r="C80" s="9" t="s">
        <v>1087</v>
      </c>
      <c r="D80" s="9" t="s">
        <v>1088</v>
      </c>
      <c r="E80" s="9" t="s">
        <v>1089</v>
      </c>
      <c r="F80" s="9" t="s">
        <v>1090</v>
      </c>
      <c r="G80" s="9" t="s">
        <v>1092</v>
      </c>
      <c r="L80" s="20">
        <f>$I$37*$L$37</f>
        <v>0</v>
      </c>
      <c r="M80" s="20">
        <f>$I$37*$M$37</f>
        <v>0</v>
      </c>
      <c r="N80" s="20">
        <f>$I$37*$N$37</f>
        <v>0</v>
      </c>
      <c r="O80" s="20">
        <f>$I$37*$O$37</f>
        <v>0</v>
      </c>
      <c r="P80" s="20">
        <f>$I$37*$P$37</f>
        <v>0</v>
      </c>
      <c r="Q80" s="20">
        <f>$I$37*$Q$37</f>
        <v>76.210918658523426</v>
      </c>
      <c r="R80" s="20">
        <f>$I$37*$R$37</f>
        <v>0</v>
      </c>
      <c r="S80" s="20">
        <f>$I$37*$S$37</f>
        <v>0</v>
      </c>
      <c r="T80" s="20">
        <f>$I$37*$T$37</f>
        <v>0</v>
      </c>
      <c r="U80" s="20">
        <f>$I$37*$U$37</f>
        <v>0</v>
      </c>
      <c r="V80" s="20">
        <f>$I$37*$V$37</f>
        <v>0</v>
      </c>
      <c r="X80" s="20">
        <f>$I$37*$X$37</f>
        <v>0</v>
      </c>
      <c r="Y80" s="20">
        <f>$I$37*$Y$37</f>
        <v>0</v>
      </c>
      <c r="Z80" s="20">
        <f>$I$37*$Z$37</f>
        <v>0</v>
      </c>
      <c r="AA80" s="20">
        <f>$I$37*$AA$37</f>
        <v>0</v>
      </c>
      <c r="AB80" s="20">
        <f>$I$37*$AB$37</f>
        <v>0</v>
      </c>
      <c r="AC80" s="20">
        <f>$I$37*$AC$37</f>
        <v>84.885139587879422</v>
      </c>
      <c r="AD80" s="20">
        <f>$I$37*$AD$37</f>
        <v>0</v>
      </c>
      <c r="AE80" s="20">
        <f>$I$37*$AE$37</f>
        <v>0</v>
      </c>
      <c r="AF80" s="20">
        <f>$I$37*$AF$37</f>
        <v>0</v>
      </c>
      <c r="AG80" s="20">
        <f>$I$37*$AG$37</f>
        <v>0</v>
      </c>
      <c r="AH80" s="20">
        <f>$I$37*$AH$37</f>
        <v>0</v>
      </c>
    </row>
    <row r="81" spans="1:34" ht="11.25" customHeight="1" x14ac:dyDescent="0.3">
      <c r="A81" s="9" t="s">
        <v>35</v>
      </c>
      <c r="B81" s="9" t="s">
        <v>1086</v>
      </c>
      <c r="C81" s="9" t="s">
        <v>1087</v>
      </c>
      <c r="D81" s="9" t="s">
        <v>1088</v>
      </c>
      <c r="E81" s="9" t="s">
        <v>1089</v>
      </c>
      <c r="F81" s="9" t="s">
        <v>1090</v>
      </c>
      <c r="G81" s="9" t="s">
        <v>1093</v>
      </c>
      <c r="L81" s="20">
        <f>$I$38*$L$38</f>
        <v>0</v>
      </c>
      <c r="M81" s="20">
        <f>$I$38*$M$38</f>
        <v>0</v>
      </c>
      <c r="N81" s="20">
        <f>$I$38*$N$38</f>
        <v>0</v>
      </c>
      <c r="O81" s="20">
        <f>$I$38*$O$38</f>
        <v>0</v>
      </c>
      <c r="P81" s="20">
        <f>$I$38*$P$38</f>
        <v>0</v>
      </c>
      <c r="Q81" s="20">
        <f>$I$38*$Q$38</f>
        <v>1080.2939410720237</v>
      </c>
      <c r="R81" s="20">
        <f>$I$38*$R$38</f>
        <v>0</v>
      </c>
      <c r="S81" s="20">
        <f>$I$38*$S$38</f>
        <v>0</v>
      </c>
      <c r="T81" s="20">
        <f>$I$38*$T$38</f>
        <v>0</v>
      </c>
      <c r="U81" s="20">
        <f>$I$38*$U$38</f>
        <v>0</v>
      </c>
      <c r="V81" s="20">
        <f>$I$38*$V$38</f>
        <v>0</v>
      </c>
      <c r="X81" s="20">
        <f>$I$38*$X$38</f>
        <v>0</v>
      </c>
      <c r="Y81" s="20">
        <f>$I$38*$Y$38</f>
        <v>0</v>
      </c>
      <c r="Z81" s="20">
        <f>$I$38*$Z$38</f>
        <v>0</v>
      </c>
      <c r="AA81" s="20">
        <f>$I$38*$AA$38</f>
        <v>0</v>
      </c>
      <c r="AB81" s="20">
        <f>$I$38*$AB$38</f>
        <v>0</v>
      </c>
      <c r="AC81" s="20">
        <f>$I$38*$AC$38</f>
        <v>1203.2514972653894</v>
      </c>
      <c r="AD81" s="20">
        <f>$I$38*$AD$38</f>
        <v>0</v>
      </c>
      <c r="AE81" s="20">
        <f>$I$38*$AE$38</f>
        <v>0</v>
      </c>
      <c r="AF81" s="20">
        <f>$I$38*$AF$38</f>
        <v>0</v>
      </c>
      <c r="AG81" s="20">
        <f>$I$38*$AG$38</f>
        <v>0</v>
      </c>
      <c r="AH81" s="20">
        <f>$I$38*$AH$38</f>
        <v>0</v>
      </c>
    </row>
    <row r="82" spans="1:34" ht="11.25" customHeight="1" x14ac:dyDescent="0.3">
      <c r="A82" s="9" t="s">
        <v>35</v>
      </c>
      <c r="B82" s="9" t="s">
        <v>1094</v>
      </c>
      <c r="C82" s="9" t="s">
        <v>1095</v>
      </c>
      <c r="D82" s="9" t="s">
        <v>1096</v>
      </c>
      <c r="E82" s="9" t="s">
        <v>1097</v>
      </c>
      <c r="F82" s="9" t="s">
        <v>1098</v>
      </c>
      <c r="G82" s="9" t="s">
        <v>1099</v>
      </c>
      <c r="L82" s="20">
        <f>$I$39*$L$39</f>
        <v>0</v>
      </c>
      <c r="M82" s="20">
        <f>$I$39*$M$39</f>
        <v>0</v>
      </c>
      <c r="N82" s="20">
        <f>$I$39*$N$39</f>
        <v>0</v>
      </c>
      <c r="O82" s="20">
        <f>$I$39*$O$39</f>
        <v>0</v>
      </c>
      <c r="P82" s="20">
        <f>$I$39*$P$39</f>
        <v>0</v>
      </c>
      <c r="Q82" s="20">
        <f>$I$39*$Q$39</f>
        <v>453166.2984029018</v>
      </c>
      <c r="R82" s="20">
        <f>$I$39*$R$39</f>
        <v>0</v>
      </c>
      <c r="S82" s="20">
        <f>$I$39*$S$39</f>
        <v>0</v>
      </c>
      <c r="T82" s="20">
        <f>$I$39*$T$39</f>
        <v>0</v>
      </c>
      <c r="U82" s="20">
        <f>$I$39*$U$39</f>
        <v>0</v>
      </c>
      <c r="V82" s="20">
        <f>$I$39*$V$39</f>
        <v>0</v>
      </c>
      <c r="X82" s="20">
        <f>$I$39*$X$39</f>
        <v>0</v>
      </c>
      <c r="Y82" s="20">
        <f>$I$39*$Y$39</f>
        <v>0</v>
      </c>
      <c r="Z82" s="20">
        <f>$I$39*$Z$39</f>
        <v>0</v>
      </c>
      <c r="AA82" s="20">
        <f>$I$39*$AA$39</f>
        <v>0</v>
      </c>
      <c r="AB82" s="20">
        <f>$I$39*$AB$39</f>
        <v>0</v>
      </c>
      <c r="AC82" s="20">
        <f>$I$39*$AC$39</f>
        <v>504745.05718546116</v>
      </c>
      <c r="AD82" s="20">
        <f>$I$39*$AD$39</f>
        <v>0</v>
      </c>
      <c r="AE82" s="20">
        <f>$I$39*$AE$39</f>
        <v>0</v>
      </c>
      <c r="AF82" s="20">
        <f>$I$39*$AF$39</f>
        <v>0</v>
      </c>
      <c r="AG82" s="20">
        <f>$I$39*$AG$39</f>
        <v>0</v>
      </c>
      <c r="AH82" s="20">
        <f>$I$39*$AH$39</f>
        <v>0</v>
      </c>
    </row>
    <row r="83" spans="1:34" ht="11.25" customHeight="1" x14ac:dyDescent="0.3">
      <c r="A83" s="9" t="s">
        <v>35</v>
      </c>
      <c r="B83" s="9" t="s">
        <v>1100</v>
      </c>
      <c r="C83" s="9" t="s">
        <v>1101</v>
      </c>
      <c r="D83" s="9" t="s">
        <v>1102</v>
      </c>
      <c r="E83" s="9" t="s">
        <v>1103</v>
      </c>
      <c r="F83" s="9" t="s">
        <v>1104</v>
      </c>
      <c r="G83" s="9" t="s">
        <v>1105</v>
      </c>
      <c r="L83" s="20">
        <f>$I$40*$L$40</f>
        <v>0</v>
      </c>
      <c r="M83" s="20">
        <f>$I$40*$M$40</f>
        <v>0</v>
      </c>
      <c r="N83" s="20">
        <f>$I$40*$N$40</f>
        <v>0</v>
      </c>
      <c r="O83" s="20">
        <f>$I$40*$O$40</f>
        <v>0</v>
      </c>
      <c r="P83" s="20">
        <f>$I$40*$P$40</f>
        <v>0</v>
      </c>
      <c r="Q83" s="20">
        <f>$I$40*$Q$40</f>
        <v>0</v>
      </c>
      <c r="R83" s="20">
        <f>$I$40*$R$40</f>
        <v>0</v>
      </c>
      <c r="S83" s="20">
        <f>$I$40*$S$40</f>
        <v>0</v>
      </c>
      <c r="T83" s="20">
        <f>$I$40*$T$40</f>
        <v>0</v>
      </c>
      <c r="U83" s="20">
        <f>$I$40*$U$40</f>
        <v>0</v>
      </c>
      <c r="V83" s="20">
        <f>$I$40*$V$40</f>
        <v>0</v>
      </c>
      <c r="X83" s="20">
        <f>$I$40*$X$40</f>
        <v>0</v>
      </c>
      <c r="Y83" s="20">
        <f>$I$40*$Y$40</f>
        <v>0</v>
      </c>
      <c r="Z83" s="20">
        <f>$I$40*$Z$40</f>
        <v>0</v>
      </c>
      <c r="AA83" s="20">
        <f>$I$40*$AA$40</f>
        <v>0</v>
      </c>
      <c r="AB83" s="20">
        <f>$I$40*$AB$40</f>
        <v>0</v>
      </c>
      <c r="AC83" s="20">
        <f>$I$40*$AC$40</f>
        <v>0</v>
      </c>
      <c r="AD83" s="20">
        <f>$I$40*$AD$40</f>
        <v>0</v>
      </c>
      <c r="AE83" s="20">
        <f>$I$40*$AE$40</f>
        <v>0</v>
      </c>
      <c r="AF83" s="20">
        <f>$I$40*$AF$40</f>
        <v>0</v>
      </c>
      <c r="AG83" s="20">
        <f>$I$40*$AG$40</f>
        <v>0</v>
      </c>
      <c r="AH83" s="20">
        <f>$I$40*$AH$40</f>
        <v>0</v>
      </c>
    </row>
    <row r="84" spans="1:34" ht="11.25" customHeight="1" x14ac:dyDescent="0.3">
      <c r="A84" s="9" t="s">
        <v>46</v>
      </c>
      <c r="B84" s="9" t="s">
        <v>1106</v>
      </c>
      <c r="C84" s="9" t="s">
        <v>1107</v>
      </c>
      <c r="D84" s="9" t="s">
        <v>1108</v>
      </c>
      <c r="E84" s="9" t="s">
        <v>1109</v>
      </c>
      <c r="F84" s="9" t="s">
        <v>1110</v>
      </c>
      <c r="G84" s="9" t="s">
        <v>1111</v>
      </c>
      <c r="L84" s="20">
        <f>$I$41*$L$41</f>
        <v>0</v>
      </c>
      <c r="M84" s="20">
        <f>$I$41*$M$41</f>
        <v>0</v>
      </c>
      <c r="N84" s="20">
        <f>$I$41*$N$41</f>
        <v>0</v>
      </c>
      <c r="O84" s="20">
        <f>$I$41*$O$41</f>
        <v>0</v>
      </c>
      <c r="P84" s="20">
        <f>$I$41*$P$41</f>
        <v>0</v>
      </c>
      <c r="Q84" s="20">
        <f>$I$41*$Q$41</f>
        <v>228873.77092128422</v>
      </c>
      <c r="R84" s="20">
        <f>$I$41*$R$41</f>
        <v>0</v>
      </c>
      <c r="S84" s="20">
        <f>$I$41*$S$41</f>
        <v>0</v>
      </c>
      <c r="T84" s="20">
        <f>$I$41*$T$41</f>
        <v>0</v>
      </c>
      <c r="U84" s="20">
        <f>$I$41*$U$41</f>
        <v>0</v>
      </c>
      <c r="V84" s="20">
        <f>$I$41*$V$41</f>
        <v>0</v>
      </c>
      <c r="X84" s="20">
        <f>$I$41*$X$41</f>
        <v>0</v>
      </c>
      <c r="Y84" s="20">
        <f>$I$41*$Y$41</f>
        <v>0</v>
      </c>
      <c r="Z84" s="20">
        <f>$I$41*$Z$41</f>
        <v>0</v>
      </c>
      <c r="AA84" s="20">
        <f>$I$41*$AA$41</f>
        <v>0</v>
      </c>
      <c r="AB84" s="20">
        <f>$I$41*$AB$41</f>
        <v>0</v>
      </c>
      <c r="AC84" s="20">
        <f>$I$41*$AC$41</f>
        <v>254923.86569578174</v>
      </c>
      <c r="AD84" s="20">
        <f>$I$41*$AD$41</f>
        <v>0</v>
      </c>
      <c r="AE84" s="20">
        <f>$I$41*$AE$41</f>
        <v>0</v>
      </c>
      <c r="AF84" s="20">
        <f>$I$41*$AF$41</f>
        <v>0</v>
      </c>
      <c r="AG84" s="20">
        <f>$I$41*$AG$41</f>
        <v>0</v>
      </c>
      <c r="AH84" s="20">
        <f>$I$41*$AH$41</f>
        <v>0</v>
      </c>
    </row>
    <row r="85" spans="1:34" ht="11.25" customHeight="1" x14ac:dyDescent="0.3">
      <c r="A85" s="9" t="s">
        <v>46</v>
      </c>
      <c r="B85" s="9" t="s">
        <v>1106</v>
      </c>
      <c r="C85" s="9" t="s">
        <v>1107</v>
      </c>
      <c r="D85" s="9" t="s">
        <v>1112</v>
      </c>
      <c r="E85" s="9" t="s">
        <v>1113</v>
      </c>
      <c r="F85" s="9" t="s">
        <v>1114</v>
      </c>
      <c r="G85" s="9" t="s">
        <v>1115</v>
      </c>
      <c r="L85" s="20">
        <f>$I$42*$L$42</f>
        <v>0</v>
      </c>
      <c r="M85" s="20">
        <f>$I$42*$M$42</f>
        <v>0</v>
      </c>
      <c r="N85" s="20">
        <f>$I$42*$N$42</f>
        <v>0</v>
      </c>
      <c r="O85" s="20">
        <f>$I$42*$O$42</f>
        <v>0</v>
      </c>
      <c r="P85" s="20">
        <f>$I$42*$P$42</f>
        <v>0</v>
      </c>
      <c r="Q85" s="20">
        <f>$I$42*$Q$42</f>
        <v>156822.35915375888</v>
      </c>
      <c r="R85" s="20">
        <f>$I$42*$R$42</f>
        <v>0</v>
      </c>
      <c r="S85" s="20">
        <f>$I$42*$S$42</f>
        <v>0</v>
      </c>
      <c r="T85" s="20">
        <f>$I$42*$T$42</f>
        <v>0</v>
      </c>
      <c r="U85" s="20">
        <f>$I$42*$U$42</f>
        <v>0</v>
      </c>
      <c r="V85" s="20">
        <f>$I$42*$V$42</f>
        <v>0</v>
      </c>
      <c r="X85" s="20">
        <f>$I$42*$X$42</f>
        <v>0</v>
      </c>
      <c r="Y85" s="20">
        <f>$I$42*$Y$42</f>
        <v>0</v>
      </c>
      <c r="Z85" s="20">
        <f>$I$42*$Z$42</f>
        <v>0</v>
      </c>
      <c r="AA85" s="20">
        <f>$I$42*$AA$42</f>
        <v>0</v>
      </c>
      <c r="AB85" s="20">
        <f>$I$42*$AB$42</f>
        <v>0</v>
      </c>
      <c r="AC85" s="20">
        <f>$I$42*$AC$42</f>
        <v>174671.66229702122</v>
      </c>
      <c r="AD85" s="20">
        <f>$I$42*$AD$42</f>
        <v>0</v>
      </c>
      <c r="AE85" s="20">
        <f>$I$42*$AE$42</f>
        <v>0</v>
      </c>
      <c r="AF85" s="20">
        <f>$I$42*$AF$42</f>
        <v>0</v>
      </c>
      <c r="AG85" s="20">
        <f>$I$42*$AG$42</f>
        <v>0</v>
      </c>
      <c r="AH85" s="20">
        <f>$I$42*$AH$42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7"/>
    <mergeCell ref="B5:B6"/>
    <mergeCell ref="C5:C6"/>
    <mergeCell ref="D5:D6"/>
    <mergeCell ref="E5:E6"/>
    <mergeCell ref="A8:A20"/>
    <mergeCell ref="B8:B10"/>
    <mergeCell ref="C8:C10"/>
    <mergeCell ref="D8:D10"/>
    <mergeCell ref="E8:E10"/>
    <mergeCell ref="B11:B15"/>
    <mergeCell ref="C11:C15"/>
    <mergeCell ref="B16:B20"/>
    <mergeCell ref="C16:C20"/>
    <mergeCell ref="A21:A35"/>
    <mergeCell ref="B21:B23"/>
    <mergeCell ref="C21:C23"/>
    <mergeCell ref="D21:D23"/>
    <mergeCell ref="E21:E23"/>
    <mergeCell ref="B25:B27"/>
    <mergeCell ref="C25:C27"/>
    <mergeCell ref="D25:D27"/>
    <mergeCell ref="E25:E27"/>
    <mergeCell ref="X1:AH1"/>
    <mergeCell ref="X2:AH2"/>
    <mergeCell ref="X3:AB3"/>
    <mergeCell ref="AD3:AF3"/>
    <mergeCell ref="B33:B35"/>
    <mergeCell ref="C33:C35"/>
    <mergeCell ref="F25:F27"/>
    <mergeCell ref="B29:B31"/>
    <mergeCell ref="C29:C31"/>
    <mergeCell ref="D29:D31"/>
    <mergeCell ref="E29:E31"/>
    <mergeCell ref="F29:F31"/>
    <mergeCell ref="F21:F23"/>
    <mergeCell ref="F8:F10"/>
    <mergeCell ref="F5:F6"/>
    <mergeCell ref="G1:G4"/>
    <mergeCell ref="E36:E38"/>
    <mergeCell ref="F36:F38"/>
    <mergeCell ref="A41:A42"/>
    <mergeCell ref="B41:B42"/>
    <mergeCell ref="C41:C42"/>
    <mergeCell ref="A36:A40"/>
    <mergeCell ref="B36:B38"/>
    <mergeCell ref="C36:C38"/>
    <mergeCell ref="D36:D38"/>
    <mergeCell ref="L44:V44"/>
    <mergeCell ref="X44:AH44"/>
    <mergeCell ref="L45:V45"/>
    <mergeCell ref="X45:AH45"/>
    <mergeCell ref="L46:P46"/>
    <mergeCell ref="R46:T46"/>
    <mergeCell ref="X46:AB46"/>
    <mergeCell ref="AD46:AF46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8B3C-E5E6-4C7E-B8C9-3FCA8DCE8007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1.88671875" style="14" bestFit="1" customWidth="1"/>
    <col min="3" max="7" width="9.5546875" style="14" bestFit="1" customWidth="1"/>
    <col min="8" max="8" width="7.88671875" style="14" bestFit="1" customWidth="1"/>
    <col min="9" max="9" width="7.6640625" style="14" bestFit="1" customWidth="1"/>
    <col min="10" max="10" width="7" style="14" bestFit="1" customWidth="1"/>
    <col min="11" max="11" width="6.88671875" style="14" bestFit="1" customWidth="1"/>
    <col min="12" max="12" width="9" style="14" bestFit="1" customWidth="1"/>
    <col min="13" max="13" width="9.21875" style="14" bestFit="1" customWidth="1"/>
    <col min="14" max="14" width="9.109375" style="14" bestFit="1" customWidth="1"/>
    <col min="15" max="15" width="6.88671875" style="14" bestFit="1" customWidth="1"/>
    <col min="16" max="16" width="9.21875" style="14" bestFit="1" customWidth="1"/>
    <col min="17" max="17" width="10.6640625" style="14" bestFit="1" customWidth="1"/>
    <col min="18" max="18" width="7.5546875" style="14" bestFit="1" customWidth="1"/>
    <col min="19" max="19" width="6.77734375" style="14" bestFit="1" customWidth="1"/>
    <col min="20" max="20" width="14.44140625" style="14" bestFit="1" customWidth="1"/>
    <col min="21" max="21" width="17.77734375" style="14" bestFit="1" customWidth="1"/>
    <col min="22" max="22" width="18.109375" style="14" bestFit="1" customWidth="1"/>
    <col min="23" max="23" width="5.33203125" style="14" bestFit="1" customWidth="1"/>
    <col min="24" max="24" width="9.88671875" style="14" bestFit="1" customWidth="1"/>
    <col min="25" max="26" width="8.88671875" style="14"/>
    <col min="27" max="27" width="2.5546875" style="14" bestFit="1" customWidth="1"/>
    <col min="28" max="28" width="19.441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F1" s="14" t="s">
        <v>15</v>
      </c>
      <c r="G1" s="14" t="s">
        <v>66</v>
      </c>
      <c r="I1" s="14" t="s">
        <v>1123</v>
      </c>
      <c r="AA1" s="14" t="s">
        <v>37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37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80</v>
      </c>
      <c r="AB2" s="14" t="s">
        <v>41</v>
      </c>
      <c r="AC2" s="14" t="s">
        <v>24</v>
      </c>
      <c r="AD2" s="14" t="s">
        <v>24</v>
      </c>
      <c r="AE2" s="14" t="s">
        <v>78</v>
      </c>
      <c r="AG2" s="14" t="s">
        <v>76</v>
      </c>
    </row>
    <row r="3" spans="1:33" x14ac:dyDescent="0.2">
      <c r="AA3" s="14" t="s">
        <v>22</v>
      </c>
      <c r="AB3" s="14" t="s">
        <v>79</v>
      </c>
      <c r="AC3" s="14" t="s">
        <v>44</v>
      </c>
      <c r="AD3" s="14" t="s">
        <v>29</v>
      </c>
      <c r="AE3" s="14" t="s">
        <v>81</v>
      </c>
      <c r="AG3" s="14" t="s">
        <v>77</v>
      </c>
    </row>
    <row r="4" spans="1:33" x14ac:dyDescent="0.2">
      <c r="AA4" s="14" t="s">
        <v>43</v>
      </c>
      <c r="AB4" s="14" t="s">
        <v>38</v>
      </c>
      <c r="AC4" s="14" t="s">
        <v>47</v>
      </c>
      <c r="AD4" s="14" t="s">
        <v>30</v>
      </c>
      <c r="AE4" s="14" t="s">
        <v>82</v>
      </c>
      <c r="AG4" s="14" t="s">
        <v>74</v>
      </c>
    </row>
    <row r="5" spans="1:33" x14ac:dyDescent="0.2">
      <c r="A5" s="14" t="s">
        <v>1116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537</v>
      </c>
      <c r="AA5" s="14" t="s">
        <v>35</v>
      </c>
      <c r="AB5" s="14" t="s">
        <v>33</v>
      </c>
      <c r="AD5" s="14" t="s">
        <v>31</v>
      </c>
      <c r="AG5" s="14" t="s">
        <v>9</v>
      </c>
    </row>
    <row r="6" spans="1:33" x14ac:dyDescent="0.2">
      <c r="A6" s="14" t="s">
        <v>1117</v>
      </c>
      <c r="B6" s="39">
        <f>SUM(TUSD!$AI$57:'TUSD'!$AI$103)</f>
        <v>0</v>
      </c>
      <c r="C6" s="39">
        <f>SUM(TUSD!$AJ$57:'TUSD'!$AJ$103)</f>
        <v>95281.855810503257</v>
      </c>
      <c r="D6" s="39">
        <f>SUM(TUSD!$AK$57:'TUSD'!$AK$103)</f>
        <v>0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2687140.6429395997</v>
      </c>
      <c r="H6" s="39">
        <f>SUM(TUSD!$AO$57:'TUSD'!$AO$103)</f>
        <v>429646.88181383896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5255916.7802202376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9372195.4865984302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1410990.009863832</v>
      </c>
      <c r="U6" s="39">
        <f>SUM(TUSD!$BB$57:'TUSD'!$BB$103)</f>
        <v>0</v>
      </c>
      <c r="V6" s="39">
        <f>SUM(TUSD!$BC$57:'TUSD'!$BC$103)</f>
        <v>0</v>
      </c>
      <c r="W6" s="39">
        <f>SUM(TUSD!$BD$57:'TUSD'!$BD$103)</f>
        <v>0</v>
      </c>
      <c r="X6" s="39">
        <f t="shared" ref="X6:X11" si="0">SUM(B6:W6)</f>
        <v>19251171.657246441</v>
      </c>
      <c r="AA6" s="14" t="s">
        <v>46</v>
      </c>
      <c r="AB6" s="14" t="s">
        <v>23</v>
      </c>
      <c r="AD6" s="14" t="s">
        <v>32</v>
      </c>
      <c r="AG6" s="14" t="s">
        <v>71</v>
      </c>
    </row>
    <row r="7" spans="1:33" x14ac:dyDescent="0.2">
      <c r="A7" s="14" t="s">
        <v>1118</v>
      </c>
      <c r="B7" s="39">
        <f>SUM(TUSD!$L$57:'TUSD'!$L$103)</f>
        <v>0</v>
      </c>
      <c r="C7" s="39">
        <f>SUM(TUSD!$M$57:'TUSD'!$M$103)</f>
        <v>113399.30397252871</v>
      </c>
      <c r="D7" s="39">
        <f ca="1">SUM(TUSD!$N$57:'TUSD'!$N$103)</f>
        <v>0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4299386.1692055631</v>
      </c>
      <c r="H7" s="39">
        <f>SUM(TUSD!$R$57:'TUSD'!$R$103)</f>
        <v>700075.92880042712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5795560.6530673504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11026572.722648878</v>
      </c>
      <c r="R7" s="39">
        <f ca="1">SUM(TUSD!$AB$57:'TUSD'!$AB$103)</f>
        <v>0</v>
      </c>
      <c r="S7" s="39">
        <f ca="1">SUM(TUSD!$AC$57:'TUSD'!$AC$103)</f>
        <v>0</v>
      </c>
      <c r="T7" s="39">
        <f>SUM(TUSD!$AD$57:'TUSD'!$AD$103)</f>
        <v>1293219.1292973594</v>
      </c>
      <c r="U7" s="39">
        <f>SUM(TUSD!$AE$57:'TUSD'!$AE$103)</f>
        <v>0</v>
      </c>
      <c r="V7" s="39">
        <f ca="1">SUM(TUSD!$AF$57:'TUSD'!$AF$103)</f>
        <v>0</v>
      </c>
      <c r="W7" s="39">
        <f ca="1">SUM(TUSD!$AG$57:'TUSD'!$AG$103)</f>
        <v>0</v>
      </c>
      <c r="X7" s="39">
        <f t="shared" ca="1" si="0"/>
        <v>23228213.906992108</v>
      </c>
      <c r="AB7" s="14" t="s">
        <v>85</v>
      </c>
      <c r="AD7" s="14" t="s">
        <v>86</v>
      </c>
      <c r="AG7" s="14" t="s">
        <v>72</v>
      </c>
    </row>
    <row r="8" spans="1:33" x14ac:dyDescent="0.2">
      <c r="A8" s="14" t="s">
        <v>1121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8876.3663763235163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459919.7072140422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82416.962688490923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707307.72452688427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872586.64046117093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117427.25537889059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39">
        <f t="shared" si="0"/>
        <v>2248534.6566458028</v>
      </c>
      <c r="AD8" s="14" t="s">
        <v>87</v>
      </c>
      <c r="AG8" s="14" t="s">
        <v>83</v>
      </c>
    </row>
    <row r="9" spans="1:33" x14ac:dyDescent="0.2">
      <c r="A9" s="14" t="s">
        <v>1122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10275.653048589909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696945.12216803734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131054.27884593859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760011.96385441325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999174.29623593739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104719.06033503319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39">
        <f t="shared" ca="1" si="0"/>
        <v>2702180.37448795</v>
      </c>
      <c r="AD9" s="14" t="s">
        <v>48</v>
      </c>
    </row>
    <row r="10" spans="1:33" x14ac:dyDescent="0.2">
      <c r="A10" s="14" t="s">
        <v>1119</v>
      </c>
      <c r="B10" s="39">
        <f>SUMIF(TUSD!$A$57:'TUSD'!$A$103,$A$2,TUSD!$AI$57:'TUSD'!$AI$103)</f>
        <v>0</v>
      </c>
      <c r="C10" s="39">
        <f>SUMIF(TUSD!$A$57:'TUSD'!$A$103,$A$2,TUSD!$AJ$57:'TUSD'!$AJ$103)</f>
        <v>8876.3663763235163</v>
      </c>
      <c r="D10" s="39">
        <f>SUMIF(TUSD!$A$57:'TUSD'!$A$103,$A$2,TUSD!$AK$57:'TUSD'!$AK$103)</f>
        <v>0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459919.7072140422</v>
      </c>
      <c r="H10" s="39">
        <f>SUMIF(TUSD!$A$57:'TUSD'!$A$103,$A$2,TUSD!$AO$57:'TUSD'!$AO$103)</f>
        <v>82416.962688490923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707307.72452688427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872586.64046117093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117427.25537889059</v>
      </c>
      <c r="U10" s="39">
        <f>SUMIF(TUSD!$A$57:'TUSD'!$A$103,$A$2,TUSD!$BB$57:'TUSD'!$BB$103)</f>
        <v>0</v>
      </c>
      <c r="V10" s="39">
        <f>SUMIF(TUSD!$A$57:'TUSD'!$A$103,$A$2,TUSD!$BC$57:'TUSD'!$BC$103)</f>
        <v>0</v>
      </c>
      <c r="W10" s="39">
        <f>SUMIF(TUSD!$A$57:'TUSD'!$A$103,$A$2,TUSD!$BD$57:'TUSD'!$BD$103)</f>
        <v>0</v>
      </c>
      <c r="X10" s="39">
        <f t="shared" si="0"/>
        <v>2248534.6566458028</v>
      </c>
      <c r="AD10" s="14" t="s">
        <v>49</v>
      </c>
    </row>
    <row r="11" spans="1:33" x14ac:dyDescent="0.2">
      <c r="A11" s="14" t="s">
        <v>1120</v>
      </c>
      <c r="B11" s="39">
        <f>SUMIF(TUSD!$A$57:'TUSD'!$A$103,$A$2,TUSD!$L$57:'TUSD'!$L$103)</f>
        <v>0</v>
      </c>
      <c r="C11" s="39">
        <f>SUMIF(TUSD!$A$57:'TUSD'!$A$103,$A$2,TUSD!$M$57:'TUSD'!$M$103)</f>
        <v>10275.653048589909</v>
      </c>
      <c r="D11" s="39">
        <f ca="1">SUMIF(TUSD!$A$57:'TUSD'!$A$103,$A$2,TUSD!$N$57:'TUSD'!$N$103)</f>
        <v>0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696945.12216803734</v>
      </c>
      <c r="H11" s="39">
        <f>SUMIF(TUSD!$A$57:'TUSD'!$A$103,$A$2,TUSD!$R$57:'TUSD'!$R$103)</f>
        <v>131054.27884593859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760011.96385441325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999174.29623593739</v>
      </c>
      <c r="R11" s="39">
        <f ca="1">SUMIF(TUSD!$A$57:'TUSD'!$A$103,$A$2,TUSD!$AB$57:'TUSD'!$AB$103)</f>
        <v>0</v>
      </c>
      <c r="S11" s="39">
        <f ca="1">SUMIF(TUSD!$A$57:'TUSD'!$A$103,$A$2,TUSD!$AC$57:'TUSD'!$AC$103)</f>
        <v>0</v>
      </c>
      <c r="T11" s="39">
        <f>SUMIF(TUSD!$A$57:'TUSD'!$A$103,$A$2,TUSD!$AD$57:'TUSD'!$AD$103)</f>
        <v>104719.06033503319</v>
      </c>
      <c r="U11" s="39">
        <f>SUMIF(TUSD!$A$57:'TUSD'!$A$103,$A$2,TUSD!$AE$57:'TUSD'!$AE$103)</f>
        <v>0</v>
      </c>
      <c r="V11" s="39">
        <f ca="1">SUMIF(TUSD!$A$57:'TUSD'!$A$103,$A$2,TUSD!$AF$57:'TUSD'!$AF$103)</f>
        <v>0</v>
      </c>
      <c r="W11" s="39">
        <f ca="1">SUMIF(TUSD!$A$57:'TUSD'!$A$103,$A$2,TUSD!$AG$57:'TUSD'!$AG$103)</f>
        <v>0</v>
      </c>
      <c r="X11" s="39">
        <f t="shared" ca="1" si="0"/>
        <v>2702180.37448795</v>
      </c>
    </row>
    <row r="13" spans="1:33" x14ac:dyDescent="0.2">
      <c r="A13" s="14" t="s">
        <v>1124</v>
      </c>
      <c r="B13" s="57">
        <f t="shared" ref="B13:X13" si="1">IF($X$6&lt;&gt;0,(B$7-B$6)/$X$6,0)</f>
        <v>0</v>
      </c>
      <c r="C13" s="57">
        <f t="shared" si="1"/>
        <v>9.4110885740327204E-4</v>
      </c>
      <c r="D13" s="57">
        <f t="shared" ca="1" si="1"/>
        <v>0</v>
      </c>
      <c r="E13" s="57">
        <f t="shared" si="1"/>
        <v>0</v>
      </c>
      <c r="F13" s="57">
        <f t="shared" si="1"/>
        <v>0</v>
      </c>
      <c r="G13" s="57">
        <f t="shared" si="1"/>
        <v>8.3747917008422143E-2</v>
      </c>
      <c r="H13" s="57">
        <f t="shared" si="1"/>
        <v>1.4047407181307557E-2</v>
      </c>
      <c r="I13" s="57">
        <f t="shared" si="1"/>
        <v>0</v>
      </c>
      <c r="J13" s="57">
        <f t="shared" si="1"/>
        <v>0</v>
      </c>
      <c r="K13" s="57">
        <f t="shared" si="1"/>
        <v>0</v>
      </c>
      <c r="L13" s="57">
        <f t="shared" si="1"/>
        <v>0</v>
      </c>
      <c r="M13" s="57">
        <f t="shared" si="1"/>
        <v>0</v>
      </c>
      <c r="N13" s="57">
        <f t="shared" si="1"/>
        <v>2.8031741779414369E-2</v>
      </c>
      <c r="O13" s="57">
        <f t="shared" si="1"/>
        <v>0</v>
      </c>
      <c r="P13" s="57">
        <f t="shared" si="1"/>
        <v>0</v>
      </c>
      <c r="Q13" s="57">
        <f t="shared" si="1"/>
        <v>8.5936444051586555E-2</v>
      </c>
      <c r="R13" s="57">
        <f t="shared" ca="1" si="1"/>
        <v>0</v>
      </c>
      <c r="S13" s="57">
        <f t="shared" ca="1" si="1"/>
        <v>0</v>
      </c>
      <c r="T13" s="57">
        <f t="shared" si="1"/>
        <v>-6.1175954722808706E-3</v>
      </c>
      <c r="U13" s="57">
        <f t="shared" si="1"/>
        <v>0</v>
      </c>
      <c r="V13" s="57">
        <f t="shared" ca="1" si="1"/>
        <v>0</v>
      </c>
      <c r="W13" s="57">
        <f t="shared" ca="1" si="1"/>
        <v>0</v>
      </c>
      <c r="X13" s="57">
        <f t="shared" ca="1" si="1"/>
        <v>0.20658702340585314</v>
      </c>
    </row>
    <row r="14" spans="1:33" x14ac:dyDescent="0.2">
      <c r="A14" s="14" t="s">
        <v>1125</v>
      </c>
      <c r="B14" s="57">
        <f t="shared" ref="B14:X14" si="2">IF($X$10&lt;&gt;0,(B$9-B$8)/$X$10,0)</f>
        <v>0</v>
      </c>
      <c r="C14" s="57">
        <f t="shared" si="2"/>
        <v>6.2231047590511463E-4</v>
      </c>
      <c r="D14" s="57">
        <f t="shared" ca="1" si="2"/>
        <v>0</v>
      </c>
      <c r="E14" s="57">
        <f t="shared" si="2"/>
        <v>0</v>
      </c>
      <c r="F14" s="57">
        <f t="shared" si="2"/>
        <v>0</v>
      </c>
      <c r="G14" s="57">
        <f t="shared" si="2"/>
        <v>0.1054132807130365</v>
      </c>
      <c r="H14" s="57">
        <f t="shared" si="2"/>
        <v>2.1630672230776825E-2</v>
      </c>
      <c r="I14" s="57">
        <f t="shared" si="2"/>
        <v>0</v>
      </c>
      <c r="J14" s="57">
        <f t="shared" si="2"/>
        <v>0</v>
      </c>
      <c r="K14" s="57">
        <f t="shared" si="2"/>
        <v>0</v>
      </c>
      <c r="L14" s="57">
        <f t="shared" si="2"/>
        <v>0</v>
      </c>
      <c r="M14" s="57">
        <f t="shared" si="2"/>
        <v>0</v>
      </c>
      <c r="N14" s="57">
        <f t="shared" si="2"/>
        <v>2.3439371579955657E-2</v>
      </c>
      <c r="O14" s="57">
        <f t="shared" si="2"/>
        <v>0</v>
      </c>
      <c r="P14" s="57">
        <f t="shared" si="2"/>
        <v>0</v>
      </c>
      <c r="Q14" s="57">
        <f t="shared" si="2"/>
        <v>5.6297845087965218E-2</v>
      </c>
      <c r="R14" s="57">
        <f t="shared" ca="1" si="2"/>
        <v>0</v>
      </c>
      <c r="S14" s="57">
        <f t="shared" ca="1" si="2"/>
        <v>0</v>
      </c>
      <c r="T14" s="57">
        <f t="shared" si="2"/>
        <v>-5.6517674772309451E-3</v>
      </c>
      <c r="U14" s="57">
        <f t="shared" si="2"/>
        <v>0</v>
      </c>
      <c r="V14" s="57">
        <f t="shared" ca="1" si="2"/>
        <v>0</v>
      </c>
      <c r="W14" s="57">
        <f t="shared" ca="1" si="2"/>
        <v>0</v>
      </c>
      <c r="X14" s="57">
        <f t="shared" ca="1" si="2"/>
        <v>0.20175171261040836</v>
      </c>
    </row>
    <row r="15" spans="1:33" x14ac:dyDescent="0.2">
      <c r="A15" s="14" t="s">
        <v>1126</v>
      </c>
      <c r="B15" s="57">
        <f t="shared" ref="B15:X15" si="3">IF($X$8&lt;&gt;0,(B$9-B$8)/$X$8,0)</f>
        <v>0</v>
      </c>
      <c r="C15" s="57">
        <f t="shared" si="3"/>
        <v>6.2231047590511463E-4</v>
      </c>
      <c r="D15" s="57">
        <f t="shared" ca="1" si="3"/>
        <v>0</v>
      </c>
      <c r="E15" s="57">
        <f t="shared" si="3"/>
        <v>0</v>
      </c>
      <c r="F15" s="57">
        <f t="shared" si="3"/>
        <v>0</v>
      </c>
      <c r="G15" s="57">
        <f t="shared" si="3"/>
        <v>0.1054132807130365</v>
      </c>
      <c r="H15" s="57">
        <f t="shared" si="3"/>
        <v>2.1630672230776825E-2</v>
      </c>
      <c r="I15" s="57">
        <f t="shared" si="3"/>
        <v>0</v>
      </c>
      <c r="J15" s="57">
        <f t="shared" si="3"/>
        <v>0</v>
      </c>
      <c r="K15" s="57">
        <f t="shared" si="3"/>
        <v>0</v>
      </c>
      <c r="L15" s="57">
        <f t="shared" si="3"/>
        <v>0</v>
      </c>
      <c r="M15" s="57">
        <f t="shared" si="3"/>
        <v>0</v>
      </c>
      <c r="N15" s="57">
        <f t="shared" si="3"/>
        <v>2.3439371579955657E-2</v>
      </c>
      <c r="O15" s="57">
        <f t="shared" si="3"/>
        <v>0</v>
      </c>
      <c r="P15" s="57">
        <f t="shared" si="3"/>
        <v>0</v>
      </c>
      <c r="Q15" s="57">
        <f t="shared" si="3"/>
        <v>5.6297845087965218E-2</v>
      </c>
      <c r="R15" s="57">
        <f t="shared" ca="1" si="3"/>
        <v>0</v>
      </c>
      <c r="S15" s="57">
        <f t="shared" ca="1" si="3"/>
        <v>0</v>
      </c>
      <c r="T15" s="57">
        <f t="shared" si="3"/>
        <v>-5.6517674772309451E-3</v>
      </c>
      <c r="U15" s="57">
        <f t="shared" si="3"/>
        <v>0</v>
      </c>
      <c r="V15" s="57">
        <f t="shared" ca="1" si="3"/>
        <v>0</v>
      </c>
      <c r="W15" s="57">
        <f t="shared" ca="1" si="3"/>
        <v>0</v>
      </c>
      <c r="X15" s="57">
        <f t="shared" ca="1" si="3"/>
        <v>0.20175171261040836</v>
      </c>
    </row>
  </sheetData>
  <dataValidations count="6">
    <dataValidation type="list" allowBlank="1" showInputMessage="1" showErrorMessage="1" error="Deve-se selecionar grupo válido" sqref="A2" xr:uid="{88ED9173-77CD-4DB6-ADC0-4F041BD6115B}">
      <formula1>AA1:AA6</formula1>
    </dataValidation>
    <dataValidation type="list" allowBlank="1" showInputMessage="1" showErrorMessage="1" error="Deve-se selecionar grupo válido" sqref="B2" xr:uid="{6423EAA7-F192-4B85-AA12-A5E3C7D8CEA8}">
      <formula1>AB1:AB7</formula1>
    </dataValidation>
    <dataValidation type="list" allowBlank="1" showInputMessage="1" showErrorMessage="1" error="Deve-se selecionar grupo válido" sqref="C2 E2" xr:uid="{1B2985FA-52BB-4F58-B0E3-8CD3B79113E5}">
      <formula1>AC1:AC4</formula1>
    </dataValidation>
    <dataValidation type="list" allowBlank="1" showInputMessage="1" showErrorMessage="1" error="Deve-se selecionar grupo válido" sqref="D2" xr:uid="{CDB8CD16-F50B-464A-8EDB-7FFB6EFB932C}">
      <formula1>AD1:AD10</formula1>
    </dataValidation>
    <dataValidation type="list" allowBlank="1" showInputMessage="1" showErrorMessage="1" error="Deve-se selecionar grupo válido" sqref="F2" xr:uid="{9A6822D4-0CC2-4588-AF64-B7481187E491}">
      <formula1>AF1:AF1</formula1>
    </dataValidation>
    <dataValidation type="list" allowBlank="1" showInputMessage="1" showErrorMessage="1" error="Deve-se selecionar grupo válido" sqref="G2" xr:uid="{B5A402B5-F880-470A-9E73-B5C7593CF94A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74A2-C0DA-4A7C-B139-235AF9EF3173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0.21875" style="14" bestFit="1" customWidth="1"/>
    <col min="3" max="4" width="9.5546875" style="14" bestFit="1" customWidth="1"/>
    <col min="5" max="5" width="9.88671875" style="14" bestFit="1" customWidth="1"/>
    <col min="6" max="6" width="9.5546875" style="14" bestFit="1" customWidth="1"/>
    <col min="7" max="7" width="14.77734375" style="14" bestFit="1" customWidth="1"/>
    <col min="8" max="8" width="5.33203125" style="14" bestFit="1" customWidth="1"/>
    <col min="9" max="9" width="9.21875" style="14" bestFit="1" customWidth="1"/>
    <col min="10" max="10" width="6.109375" style="14" bestFit="1" customWidth="1"/>
    <col min="11" max="11" width="7.5546875" style="14" bestFit="1" customWidth="1"/>
    <col min="12" max="12" width="10.6640625" style="14" bestFit="1" customWidth="1"/>
    <col min="13" max="13" width="9.109375" style="14" bestFit="1" customWidth="1"/>
    <col min="14" max="26" width="8.88671875" style="14"/>
    <col min="27" max="27" width="2.5546875" style="14" bestFit="1" customWidth="1"/>
    <col min="28" max="28" width="24.66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F1" s="14" t="s">
        <v>15</v>
      </c>
      <c r="G1" s="14" t="s">
        <v>66</v>
      </c>
      <c r="I1" s="14" t="s">
        <v>1123</v>
      </c>
      <c r="AA1" s="14" t="s">
        <v>37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37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69</v>
      </c>
      <c r="AC2" s="14" t="s">
        <v>24</v>
      </c>
      <c r="AD2" s="14" t="s">
        <v>24</v>
      </c>
      <c r="AG2" s="14" t="s">
        <v>71</v>
      </c>
    </row>
    <row r="3" spans="1:33" x14ac:dyDescent="0.2">
      <c r="AA3" s="14" t="s">
        <v>43</v>
      </c>
      <c r="AB3" s="14" t="s">
        <v>73</v>
      </c>
      <c r="AC3" s="14" t="s">
        <v>44</v>
      </c>
      <c r="AD3" s="14" t="s">
        <v>29</v>
      </c>
      <c r="AG3" s="14" t="s">
        <v>72</v>
      </c>
    </row>
    <row r="4" spans="1:33" x14ac:dyDescent="0.2">
      <c r="AA4" s="14" t="s">
        <v>35</v>
      </c>
      <c r="AB4" s="14" t="s">
        <v>84</v>
      </c>
      <c r="AC4" s="14" t="s">
        <v>47</v>
      </c>
      <c r="AD4" s="14" t="s">
        <v>30</v>
      </c>
      <c r="AG4" s="14" t="s">
        <v>74</v>
      </c>
    </row>
    <row r="5" spans="1:33" x14ac:dyDescent="0.2">
      <c r="A5" s="14" t="s">
        <v>1116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537</v>
      </c>
      <c r="AA5" s="14" t="s">
        <v>46</v>
      </c>
      <c r="AD5" s="14" t="s">
        <v>31</v>
      </c>
      <c r="AG5" s="14" t="s">
        <v>83</v>
      </c>
    </row>
    <row r="6" spans="1:33" x14ac:dyDescent="0.2">
      <c r="A6" s="14" t="s">
        <v>1117</v>
      </c>
      <c r="B6" s="39">
        <f>SUM(TE!$X$48:'TE'!$X$85)</f>
        <v>0</v>
      </c>
      <c r="C6" s="39">
        <f>SUM(TE!$Y$48:'TE'!$Y$85)</f>
        <v>0</v>
      </c>
      <c r="D6" s="39">
        <f>SUM(TE!$Z$48:'TE'!$Z$85)</f>
        <v>0</v>
      </c>
      <c r="E6" s="39">
        <f>SUM(TE!$AA$48:'TE'!$AA$85)</f>
        <v>0</v>
      </c>
      <c r="F6" s="39">
        <f>SUM(TE!$AB$48:'TE'!$AB$85)</f>
        <v>0</v>
      </c>
      <c r="G6" s="39">
        <f>SUM(TE!$AC$48:'TE'!$AC$85)</f>
        <v>8819031.709736418</v>
      </c>
      <c r="H6" s="39">
        <f>SUM(TE!$AD$48:'TE'!$AD$85)</f>
        <v>0</v>
      </c>
      <c r="I6" s="39">
        <f>SUM(TE!$AE$48:'TE'!$AE$85)</f>
        <v>0</v>
      </c>
      <c r="J6" s="39">
        <f>SUM(TE!$AF$48:'TE'!$AF$85)</f>
        <v>0</v>
      </c>
      <c r="K6" s="39">
        <f>SUM(TE!$AG$48:'TE'!$AG$85)</f>
        <v>0</v>
      </c>
      <c r="L6" s="39">
        <f>SUM(TE!$AH$48:'TE'!$AH$85)</f>
        <v>0</v>
      </c>
      <c r="M6" s="39">
        <f t="shared" ref="M6:M11" si="0">SUM(B6:L6)</f>
        <v>8819031.709736418</v>
      </c>
      <c r="AD6" s="14" t="s">
        <v>32</v>
      </c>
    </row>
    <row r="7" spans="1:33" x14ac:dyDescent="0.2">
      <c r="A7" s="14" t="s">
        <v>1118</v>
      </c>
      <c r="B7" s="39">
        <f>SUM(TE!$L$48:'TE'!$L$85)</f>
        <v>0</v>
      </c>
      <c r="C7" s="39">
        <f>SUM(TE!$M$48:'TE'!$M$85)</f>
        <v>0</v>
      </c>
      <c r="D7" s="39">
        <f>SUM(TE!$N$48:'TE'!$N$85)</f>
        <v>0</v>
      </c>
      <c r="E7" s="39">
        <f>SUM(TE!$O$48:'TE'!$O$85)</f>
        <v>0</v>
      </c>
      <c r="F7" s="39">
        <f>SUM(TE!$P$48:'TE'!$P$85)</f>
        <v>0</v>
      </c>
      <c r="G7" s="39">
        <f>SUM(TE!$Q$48:'TE'!$Q$85)</f>
        <v>8111954.2191965263</v>
      </c>
      <c r="H7" s="39">
        <f>SUM(TE!$R$48:'TE'!$R$85)</f>
        <v>0</v>
      </c>
      <c r="I7" s="39">
        <f>SUM(TE!$S$48:'TE'!$S$85)</f>
        <v>0</v>
      </c>
      <c r="J7" s="39">
        <f>SUM(TE!$T$48:'TE'!$T$85)</f>
        <v>0</v>
      </c>
      <c r="K7" s="39">
        <f>SUM(TE!$U$48:'TE'!$U$85)</f>
        <v>0</v>
      </c>
      <c r="L7" s="39">
        <f>SUM(TE!$V$48:'TE'!$V$85)</f>
        <v>0</v>
      </c>
      <c r="M7" s="39">
        <f t="shared" si="0"/>
        <v>8111954.2191965263</v>
      </c>
      <c r="AD7" s="14" t="s">
        <v>86</v>
      </c>
    </row>
    <row r="8" spans="1:33" x14ac:dyDescent="0.2">
      <c r="A8" s="14" t="s">
        <v>1121</v>
      </c>
      <c r="B8" s="39">
        <f>IF($G$2&lt;&gt;"Não se aplica",SUMIF(TE!$G$48:'TE'!$G$85,$I$2,TE!$X$48:'TE'!$X$85),IF($F$2&lt;&gt;"Não se aplica",SUMIF(TE!$F$48:'TE'!$F$85,$I$2,TE!$X$48:'TE'!$X$85),IF($E$2&lt;&gt;"Não se aplica",SUMIF(TE!$E$48:'TE'!$E$85,$I$2,TE!$X$48:'TE'!$X$85),IF($D$2&lt;&gt;"Não se aplica",SUMIF(TE!$D$48:'TE'!$D$85,$I$2,TE!$X$48:'TE'!$X$85),IF($C$2&lt;&gt;"Não se aplica",SUMIF(TE!$C$48:'TE'!$C$85,$I$2,TE!$X$48:'TE'!$X$85),IF($B$2&lt;&gt;"Não se aplica",SUMIF(TE!$B$48:'TE'!$B$85,$I$2,TE!$X$48:'TE'!$X$85),SUMIF(TE!$A$48:'TE'!$A$85,$I$2,TE!$X$48:'TE'!$X$85)))))))</f>
        <v>0</v>
      </c>
      <c r="C8" s="39">
        <f>IF($G$2&lt;&gt;"Não se aplica",SUMIF(TE!$G$48:'TE'!$G$85,$I$2,TE!$Y$48:'TE'!$Y$85),IF($F$2&lt;&gt;"Não se aplica",SUMIF(TE!$F$48:'TE'!$F$85,$I$2,TE!$Y$48:'TE'!$Y$85),IF($E$2&lt;&gt;"Não se aplica",SUMIF(TE!$E$48:'TE'!$E$85,$I$2,TE!$Y$48:'TE'!$Y$85),IF($D$2&lt;&gt;"Não se aplica",SUMIF(TE!$D$48:'TE'!$D$85,$I$2,TE!$Y$48:'TE'!$Y$85),IF($C$2&lt;&gt;"Não se aplica",SUMIF(TE!$C$48:'TE'!$C$85,$I$2,TE!$Y$48:'TE'!$Y$85),IF($B$2&lt;&gt;"Não se aplica",SUMIF(TE!$B$48:'TE'!$B$85,$I$2,TE!$Y$48:'TE'!$Y$85),SUMIF(TE!$A$48:'TE'!$A$85,$I$2,TE!$Y$48:'TE'!$Y$85)))))))</f>
        <v>0</v>
      </c>
      <c r="D8" s="39">
        <f>IF($G$2&lt;&gt;"Não se aplica",SUMIF(TE!$G$48:'TE'!$G$85,$I$2,TE!$Z$48:'TE'!$Z$85),IF($F$2&lt;&gt;"Não se aplica",SUMIF(TE!$F$48:'TE'!$F$85,$I$2,TE!$Z$48:'TE'!$Z$85),IF($E$2&lt;&gt;"Não se aplica",SUMIF(TE!$E$48:'TE'!$E$85,$I$2,TE!$Z$48:'TE'!$Z$85),IF($D$2&lt;&gt;"Não se aplica",SUMIF(TE!$D$48:'TE'!$D$85,$I$2,TE!$Z$48:'TE'!$Z$85),IF($C$2&lt;&gt;"Não se aplica",SUMIF(TE!$C$48:'TE'!$C$85,$I$2,TE!$Z$48:'TE'!$Z$85),IF($B$2&lt;&gt;"Não se aplica",SUMIF(TE!$B$48:'TE'!$B$85,$I$2,TE!$Z$48:'TE'!$Z$85),SUMIF(TE!$A$48:'TE'!$A$85,$I$2,TE!$Z$48:'TE'!$Z$85)))))))</f>
        <v>0</v>
      </c>
      <c r="E8" s="39">
        <f>IF($G$2&lt;&gt;"Não se aplica",SUMIF(TE!$G$48:'TE'!$G$85,$I$2,TE!$AA$48:'TE'!$AA$85),IF($F$2&lt;&gt;"Não se aplica",SUMIF(TE!$F$48:'TE'!$F$85,$I$2,TE!$AA$48:'TE'!$AA$85),IF($E$2&lt;&gt;"Não se aplica",SUMIF(TE!$E$48:'TE'!$E$85,$I$2,TE!$AA$48:'TE'!$AA$85),IF($D$2&lt;&gt;"Não se aplica",SUMIF(TE!$D$48:'TE'!$D$85,$I$2,TE!$AA$48:'TE'!$AA$85),IF($C$2&lt;&gt;"Não se aplica",SUMIF(TE!$C$48:'TE'!$C$85,$I$2,TE!$AA$48:'TE'!$AA$85),IF($B$2&lt;&gt;"Não se aplica",SUMIF(TE!$B$48:'TE'!$B$85,$I$2,TE!$AA$48:'TE'!$AA$85),SUMIF(TE!$A$48:'TE'!$A$85,$I$2,TE!$AA$48:'TE'!$AA$85)))))))</f>
        <v>0</v>
      </c>
      <c r="F8" s="39">
        <f>IF($G$2&lt;&gt;"Não se aplica",SUMIF(TE!$G$48:'TE'!$G$85,$I$2,TE!$AB$48:'TE'!$AB$85),IF($F$2&lt;&gt;"Não se aplica",SUMIF(TE!$F$48:'TE'!$F$85,$I$2,TE!$AB$48:'TE'!$AB$85),IF($E$2&lt;&gt;"Não se aplica",SUMIF(TE!$E$48:'TE'!$E$85,$I$2,TE!$AB$48:'TE'!$AB$85),IF($D$2&lt;&gt;"Não se aplica",SUMIF(TE!$D$48:'TE'!$D$85,$I$2,TE!$AB$48:'TE'!$AB$85),IF($C$2&lt;&gt;"Não se aplica",SUMIF(TE!$C$48:'TE'!$C$85,$I$2,TE!$AB$48:'TE'!$AB$85),IF($B$2&lt;&gt;"Não se aplica",SUMIF(TE!$B$48:'TE'!$B$85,$I$2,TE!$AB$48:'TE'!$AB$85),SUMIF(TE!$A$48:'TE'!$A$85,$I$2,TE!$AB$48:'TE'!$AB$85)))))))</f>
        <v>0</v>
      </c>
      <c r="G8" s="39">
        <f>IF($G$2&lt;&gt;"Não se aplica",SUMIF(TE!$G$48:'TE'!$G$85,$I$2,TE!$AC$48:'TE'!$AC$85),IF($F$2&lt;&gt;"Não se aplica",SUMIF(TE!$F$48:'TE'!$F$85,$I$2,TE!$AC$48:'TE'!$AC$85),IF($E$2&lt;&gt;"Não se aplica",SUMIF(TE!$E$48:'TE'!$E$85,$I$2,TE!$AC$48:'TE'!$AC$85),IF($D$2&lt;&gt;"Não se aplica",SUMIF(TE!$D$48:'TE'!$D$85,$I$2,TE!$AC$48:'TE'!$AC$85),IF($C$2&lt;&gt;"Não se aplica",SUMIF(TE!$C$48:'TE'!$C$85,$I$2,TE!$AC$48:'TE'!$AC$85),IF($B$2&lt;&gt;"Não se aplica",SUMIF(TE!$B$48:'TE'!$B$85,$I$2,TE!$AC$48:'TE'!$AC$85),SUMIF(TE!$A$48:'TE'!$A$85,$I$2,TE!$AC$48:'TE'!$AC$85)))))))</f>
        <v>1678813.8978842618</v>
      </c>
      <c r="H8" s="39">
        <f>IF($G$2&lt;&gt;"Não se aplica",SUMIF(TE!$G$48:'TE'!$G$85,$I$2,TE!$AD$48:'TE'!$AD$85),IF($F$2&lt;&gt;"Não se aplica",SUMIF(TE!$F$48:'TE'!$F$85,$I$2,TE!$AD$48:'TE'!$AD$85),IF($E$2&lt;&gt;"Não se aplica",SUMIF(TE!$E$48:'TE'!$E$85,$I$2,TE!$AD$48:'TE'!$AD$85),IF($D$2&lt;&gt;"Não se aplica",SUMIF(TE!$D$48:'TE'!$D$85,$I$2,TE!$AD$48:'TE'!$AD$85),IF($C$2&lt;&gt;"Não se aplica",SUMIF(TE!$C$48:'TE'!$C$85,$I$2,TE!$AD$48:'TE'!$AD$85),IF($B$2&lt;&gt;"Não se aplica",SUMIF(TE!$B$48:'TE'!$B$85,$I$2,TE!$AD$48:'TE'!$AD$85),SUMIF(TE!$A$48:'TE'!$A$85,$I$2,TE!$AD$48:'TE'!$AD$85)))))))</f>
        <v>0</v>
      </c>
      <c r="I8" s="39">
        <f>IF($G$2&lt;&gt;"Não se aplica",SUMIF(TE!$G$48:'TE'!$G$85,$I$2,TE!$AE$48:'TE'!$AE$85),IF($F$2&lt;&gt;"Não se aplica",SUMIF(TE!$F$48:'TE'!$F$85,$I$2,TE!$AE$48:'TE'!$AE$85),IF($E$2&lt;&gt;"Não se aplica",SUMIF(TE!$E$48:'TE'!$E$85,$I$2,TE!$AE$48:'TE'!$AE$85),IF($D$2&lt;&gt;"Não se aplica",SUMIF(TE!$D$48:'TE'!$D$85,$I$2,TE!$AE$48:'TE'!$AE$85),IF($C$2&lt;&gt;"Não se aplica",SUMIF(TE!$C$48:'TE'!$C$85,$I$2,TE!$AE$48:'TE'!$AE$85),IF($B$2&lt;&gt;"Não se aplica",SUMIF(TE!$B$48:'TE'!$B$85,$I$2,TE!$AE$48:'TE'!$AE$85),SUMIF(TE!$A$48:'TE'!$A$85,$I$2,TE!$AE$48:'TE'!$AE$85)))))))</f>
        <v>0</v>
      </c>
      <c r="J8" s="39">
        <f>IF($G$2&lt;&gt;"Não se aplica",SUMIF(TE!$G$48:'TE'!$G$85,$I$2,TE!$AF$48:'TE'!$AF$85),IF($F$2&lt;&gt;"Não se aplica",SUMIF(TE!$F$48:'TE'!$F$85,$I$2,TE!$AF$48:'TE'!$AF$85),IF($E$2&lt;&gt;"Não se aplica",SUMIF(TE!$E$48:'TE'!$E$85,$I$2,TE!$AF$48:'TE'!$AF$85),IF($D$2&lt;&gt;"Não se aplica",SUMIF(TE!$D$48:'TE'!$D$85,$I$2,TE!$AF$48:'TE'!$AF$85),IF($C$2&lt;&gt;"Não se aplica",SUMIF(TE!$C$48:'TE'!$C$85,$I$2,TE!$AF$48:'TE'!$AF$85),IF($B$2&lt;&gt;"Não se aplica",SUMIF(TE!$B$48:'TE'!$B$85,$I$2,TE!$AF$48:'TE'!$AF$85),SUMIF(TE!$A$48:'TE'!$A$85,$I$2,TE!$AF$48:'TE'!$AF$85)))))))</f>
        <v>0</v>
      </c>
      <c r="K8" s="39">
        <f>IF($G$2&lt;&gt;"Não se aplica",SUMIF(TE!$G$48:'TE'!$G$85,$I$2,TE!$AG$48:'TE'!$AG$85),IF($F$2&lt;&gt;"Não se aplica",SUMIF(TE!$F$48:'TE'!$F$85,$I$2,TE!$AG$48:'TE'!$AG$85),IF($E$2&lt;&gt;"Não se aplica",SUMIF(TE!$E$48:'TE'!$E$85,$I$2,TE!$AG$48:'TE'!$AG$85),IF($D$2&lt;&gt;"Não se aplica",SUMIF(TE!$D$48:'TE'!$D$85,$I$2,TE!$AG$48:'TE'!$AG$85),IF($C$2&lt;&gt;"Não se aplica",SUMIF(TE!$C$48:'TE'!$C$85,$I$2,TE!$AG$48:'TE'!$AG$85),IF($B$2&lt;&gt;"Não se aplica",SUMIF(TE!$B$48:'TE'!$B$85,$I$2,TE!$AG$48:'TE'!$AG$85),SUMIF(TE!$A$48:'TE'!$A$85,$I$2,TE!$AG$48:'TE'!$AG$85)))))))</f>
        <v>0</v>
      </c>
      <c r="L8" s="39">
        <f>IF($G$2&lt;&gt;"Não se aplica",SUMIF(TE!$G$48:'TE'!$G$85,$I$2,TE!$AH$48:'TE'!$AH$85),IF($F$2&lt;&gt;"Não se aplica",SUMIF(TE!$F$48:'TE'!$F$85,$I$2,TE!$AH$48:'TE'!$AH$85),IF($E$2&lt;&gt;"Não se aplica",SUMIF(TE!$E$48:'TE'!$E$85,$I$2,TE!$AH$48:'TE'!$AH$85),IF($D$2&lt;&gt;"Não se aplica",SUMIF(TE!$D$48:'TE'!$D$85,$I$2,TE!$AH$48:'TE'!$AH$85),IF($C$2&lt;&gt;"Não se aplica",SUMIF(TE!$C$48:'TE'!$C$85,$I$2,TE!$AH$48:'TE'!$AH$85),IF($B$2&lt;&gt;"Não se aplica",SUMIF(TE!$B$48:'TE'!$B$85,$I$2,TE!$AH$48:'TE'!$AH$85),SUMIF(TE!$A$48:'TE'!$A$85,$I$2,TE!$AH$48:'TE'!$AH$85)))))))</f>
        <v>0</v>
      </c>
      <c r="M8" s="39">
        <f t="shared" si="0"/>
        <v>1678813.8978842618</v>
      </c>
      <c r="AD8" s="14" t="s">
        <v>87</v>
      </c>
    </row>
    <row r="9" spans="1:33" x14ac:dyDescent="0.2">
      <c r="A9" s="14" t="s">
        <v>1122</v>
      </c>
      <c r="B9" s="39">
        <f>IF($G$2&lt;&gt;"Não se aplica",SUMIF(TE!$G$48:'TE'!$G$85,$I$2,TE!$L$48:'TE'!$L$85),IF($F$2&lt;&gt;"Não se aplica",SUMIF(TE!$F$48:'TE'!$F$85,$I$2,TE!$L$48:'TE'!$L$85),IF($E$2&lt;&gt;"Não se aplica",SUMIF(TE!$E$48:'TE'!$E$85,$I$2,TE!$L$48:'TE'!$L$85),IF($D$2&lt;&gt;"Não se aplica",SUMIF(TE!$D$48:'TE'!$D$85,$I$2,TE!$L$48:'TE'!$L$85),IF($C$2&lt;&gt;"Não se aplica",SUMIF(TE!$C$48:'TE'!$C$85,$I$2,TE!$L$48:'TE'!$L$85),IF($B$2&lt;&gt;"Não se aplica",SUMIF(TE!$B$48:'TE'!$B$85,$I$2,TE!$L$48:'TE'!$L$85),SUMIF(TE!$A$48:'TE'!$A$85,$I$2,TE!$L$48:'TE'!$L$85)))))))</f>
        <v>0</v>
      </c>
      <c r="C9" s="39">
        <f>IF($G$2&lt;&gt;"Não se aplica",SUMIF(TE!$G$48:'TE'!$G$85,$I$2,TE!$M$48:'TE'!$M$85),IF($F$2&lt;&gt;"Não se aplica",SUMIF(TE!$F$48:'TE'!$F$85,$I$2,TE!$M$48:'TE'!$M$85),IF($E$2&lt;&gt;"Não se aplica",SUMIF(TE!$E$48:'TE'!$E$85,$I$2,TE!$M$48:'TE'!$M$85),IF($D$2&lt;&gt;"Não se aplica",SUMIF(TE!$D$48:'TE'!$D$85,$I$2,TE!$M$48:'TE'!$M$85),IF($C$2&lt;&gt;"Não se aplica",SUMIF(TE!$C$48:'TE'!$C$85,$I$2,TE!$M$48:'TE'!$M$85),IF($B$2&lt;&gt;"Não se aplica",SUMIF(TE!$B$48:'TE'!$B$85,$I$2,TE!$M$48:'TE'!$M$85),SUMIF(TE!$A$48:'TE'!$A$85,$I$2,TE!$M$48:'TE'!$M$85)))))))</f>
        <v>0</v>
      </c>
      <c r="D9" s="39">
        <f>IF($G$2&lt;&gt;"Não se aplica",SUMIF(TE!$G$48:'TE'!$G$85,$I$2,TE!$N$48:'TE'!$N$85),IF($F$2&lt;&gt;"Não se aplica",SUMIF(TE!$F$48:'TE'!$F$85,$I$2,TE!$N$48:'TE'!$N$85),IF($E$2&lt;&gt;"Não se aplica",SUMIF(TE!$E$48:'TE'!$E$85,$I$2,TE!$N$48:'TE'!$N$85),IF($D$2&lt;&gt;"Não se aplica",SUMIF(TE!$D$48:'TE'!$D$85,$I$2,TE!$N$48:'TE'!$N$85),IF($C$2&lt;&gt;"Não se aplica",SUMIF(TE!$C$48:'TE'!$C$85,$I$2,TE!$N$48:'TE'!$N$85),IF($B$2&lt;&gt;"Não se aplica",SUMIF(TE!$B$48:'TE'!$B$85,$I$2,TE!$N$48:'TE'!$N$85),SUMIF(TE!$A$48:'TE'!$A$85,$I$2,TE!$N$48:'TE'!$N$85)))))))</f>
        <v>0</v>
      </c>
      <c r="E9" s="39">
        <f>IF($G$2&lt;&gt;"Não se aplica",SUMIF(TE!$G$48:'TE'!$G$85,$I$2,TE!$O$48:'TE'!$O$85),IF($F$2&lt;&gt;"Não se aplica",SUMIF(TE!$F$48:'TE'!$F$85,$I$2,TE!$O$48:'TE'!$O$85),IF($E$2&lt;&gt;"Não se aplica",SUMIF(TE!$E$48:'TE'!$E$85,$I$2,TE!$O$48:'TE'!$O$85),IF($D$2&lt;&gt;"Não se aplica",SUMIF(TE!$D$48:'TE'!$D$85,$I$2,TE!$O$48:'TE'!$O$85),IF($C$2&lt;&gt;"Não se aplica",SUMIF(TE!$C$48:'TE'!$C$85,$I$2,TE!$O$48:'TE'!$O$85),IF($B$2&lt;&gt;"Não se aplica",SUMIF(TE!$B$48:'TE'!$B$85,$I$2,TE!$O$48:'TE'!$O$85),SUMIF(TE!$A$48:'TE'!$A$85,$I$2,TE!$O$48:'TE'!$O$85)))))))</f>
        <v>0</v>
      </c>
      <c r="F9" s="39">
        <f>IF($G$2&lt;&gt;"Não se aplica",SUMIF(TE!$G$48:'TE'!$G$85,$I$2,TE!$P$48:'TE'!$P$85),IF($F$2&lt;&gt;"Não se aplica",SUMIF(TE!$F$48:'TE'!$F$85,$I$2,TE!$P$48:'TE'!$P$85),IF($E$2&lt;&gt;"Não se aplica",SUMIF(TE!$E$48:'TE'!$E$85,$I$2,TE!$P$48:'TE'!$P$85),IF($D$2&lt;&gt;"Não se aplica",SUMIF(TE!$D$48:'TE'!$D$85,$I$2,TE!$P$48:'TE'!$P$85),IF($C$2&lt;&gt;"Não se aplica",SUMIF(TE!$C$48:'TE'!$C$85,$I$2,TE!$P$48:'TE'!$P$85),IF($B$2&lt;&gt;"Não se aplica",SUMIF(TE!$B$48:'TE'!$B$85,$I$2,TE!$P$48:'TE'!$P$85),SUMIF(TE!$A$48:'TE'!$A$85,$I$2,TE!$P$48:'TE'!$P$85)))))))</f>
        <v>0</v>
      </c>
      <c r="G9" s="39">
        <f>IF($G$2&lt;&gt;"Não se aplica",SUMIF(TE!$G$48:'TE'!$G$85,$I$2,TE!$Q$48:'TE'!$Q$85),IF($F$2&lt;&gt;"Não se aplica",SUMIF(TE!$F$48:'TE'!$F$85,$I$2,TE!$Q$48:'TE'!$Q$85),IF($E$2&lt;&gt;"Não se aplica",SUMIF(TE!$E$48:'TE'!$E$85,$I$2,TE!$Q$48:'TE'!$Q$85),IF($D$2&lt;&gt;"Não se aplica",SUMIF(TE!$D$48:'TE'!$D$85,$I$2,TE!$Q$48:'TE'!$Q$85),IF($C$2&lt;&gt;"Não se aplica",SUMIF(TE!$C$48:'TE'!$C$85,$I$2,TE!$Q$48:'TE'!$Q$85),IF($B$2&lt;&gt;"Não se aplica",SUMIF(TE!$B$48:'TE'!$B$85,$I$2,TE!$Q$48:'TE'!$Q$85),SUMIF(TE!$A$48:'TE'!$A$85,$I$2,TE!$Q$48:'TE'!$Q$85)))))))</f>
        <v>1507259.6927522165</v>
      </c>
      <c r="H9" s="39">
        <f>IF($G$2&lt;&gt;"Não se aplica",SUMIF(TE!$G$48:'TE'!$G$85,$I$2,TE!$R$48:'TE'!$R$85),IF($F$2&lt;&gt;"Não se aplica",SUMIF(TE!$F$48:'TE'!$F$85,$I$2,TE!$R$48:'TE'!$R$85),IF($E$2&lt;&gt;"Não se aplica",SUMIF(TE!$E$48:'TE'!$E$85,$I$2,TE!$R$48:'TE'!$R$85),IF($D$2&lt;&gt;"Não se aplica",SUMIF(TE!$D$48:'TE'!$D$85,$I$2,TE!$R$48:'TE'!$R$85),IF($C$2&lt;&gt;"Não se aplica",SUMIF(TE!$C$48:'TE'!$C$85,$I$2,TE!$R$48:'TE'!$R$85),IF($B$2&lt;&gt;"Não se aplica",SUMIF(TE!$B$48:'TE'!$B$85,$I$2,TE!$R$48:'TE'!$R$85),SUMIF(TE!$A$48:'TE'!$A$85,$I$2,TE!$R$48:'TE'!$R$85)))))))</f>
        <v>0</v>
      </c>
      <c r="I9" s="39">
        <f>IF($G$2&lt;&gt;"Não se aplica",SUMIF(TE!$G$48:'TE'!$G$85,$I$2,TE!$S$48:'TE'!$S$85),IF($F$2&lt;&gt;"Não se aplica",SUMIF(TE!$F$48:'TE'!$F$85,$I$2,TE!$S$48:'TE'!$S$85),IF($E$2&lt;&gt;"Não se aplica",SUMIF(TE!$E$48:'TE'!$E$85,$I$2,TE!$S$48:'TE'!$S$85),IF($D$2&lt;&gt;"Não se aplica",SUMIF(TE!$D$48:'TE'!$D$85,$I$2,TE!$S$48:'TE'!$S$85),IF($C$2&lt;&gt;"Não se aplica",SUMIF(TE!$C$48:'TE'!$C$85,$I$2,TE!$S$48:'TE'!$S$85),IF($B$2&lt;&gt;"Não se aplica",SUMIF(TE!$B$48:'TE'!$B$85,$I$2,TE!$S$48:'TE'!$S$85),SUMIF(TE!$A$48:'TE'!$A$85,$I$2,TE!$S$48:'TE'!$S$85)))))))</f>
        <v>0</v>
      </c>
      <c r="J9" s="39">
        <f>IF($G$2&lt;&gt;"Não se aplica",SUMIF(TE!$G$48:'TE'!$G$85,$I$2,TE!$T$48:'TE'!$T$85),IF($F$2&lt;&gt;"Não se aplica",SUMIF(TE!$F$48:'TE'!$F$85,$I$2,TE!$T$48:'TE'!$T$85),IF($E$2&lt;&gt;"Não se aplica",SUMIF(TE!$E$48:'TE'!$E$85,$I$2,TE!$T$48:'TE'!$T$85),IF($D$2&lt;&gt;"Não se aplica",SUMIF(TE!$D$48:'TE'!$D$85,$I$2,TE!$T$48:'TE'!$T$85),IF($C$2&lt;&gt;"Não se aplica",SUMIF(TE!$C$48:'TE'!$C$85,$I$2,TE!$T$48:'TE'!$T$85),IF($B$2&lt;&gt;"Não se aplica",SUMIF(TE!$B$48:'TE'!$B$85,$I$2,TE!$T$48:'TE'!$T$85),SUMIF(TE!$A$48:'TE'!$A$85,$I$2,TE!$T$48:'TE'!$T$85)))))))</f>
        <v>0</v>
      </c>
      <c r="K9" s="39">
        <f>IF($G$2&lt;&gt;"Não se aplica",SUMIF(TE!$G$48:'TE'!$G$85,$I$2,TE!$U$48:'TE'!$U$85),IF($F$2&lt;&gt;"Não se aplica",SUMIF(TE!$F$48:'TE'!$F$85,$I$2,TE!$U$48:'TE'!$U$85),IF($E$2&lt;&gt;"Não se aplica",SUMIF(TE!$E$48:'TE'!$E$85,$I$2,TE!$U$48:'TE'!$U$85),IF($D$2&lt;&gt;"Não se aplica",SUMIF(TE!$D$48:'TE'!$D$85,$I$2,TE!$U$48:'TE'!$U$85),IF($C$2&lt;&gt;"Não se aplica",SUMIF(TE!$C$48:'TE'!$C$85,$I$2,TE!$U$48:'TE'!$U$85),IF($B$2&lt;&gt;"Não se aplica",SUMIF(TE!$B$48:'TE'!$B$85,$I$2,TE!$U$48:'TE'!$U$85),SUMIF(TE!$A$48:'TE'!$A$85,$I$2,TE!$U$48:'TE'!$U$85)))))))</f>
        <v>0</v>
      </c>
      <c r="L9" s="39">
        <f>IF($G$2&lt;&gt;"Não se aplica",SUMIF(TE!$G$48:'TE'!$G$85,$I$2,TE!$V$48:'TE'!$V$85),IF($F$2&lt;&gt;"Não se aplica",SUMIF(TE!$F$48:'TE'!$F$85,$I$2,TE!$V$48:'TE'!$V$85),IF($E$2&lt;&gt;"Não se aplica",SUMIF(TE!$E$48:'TE'!$E$85,$I$2,TE!$V$48:'TE'!$V$85),IF($D$2&lt;&gt;"Não se aplica",SUMIF(TE!$D$48:'TE'!$D$85,$I$2,TE!$V$48:'TE'!$V$85),IF($C$2&lt;&gt;"Não se aplica",SUMIF(TE!$C$48:'TE'!$C$85,$I$2,TE!$V$48:'TE'!$V$85),IF($B$2&lt;&gt;"Não se aplica",SUMIF(TE!$B$48:'TE'!$B$85,$I$2,TE!$V$48:'TE'!$V$85),SUMIF(TE!$A$48:'TE'!$A$85,$I$2,TE!$V$48:'TE'!$V$85)))))))</f>
        <v>0</v>
      </c>
      <c r="M9" s="39">
        <f t="shared" si="0"/>
        <v>1507259.6927522165</v>
      </c>
      <c r="AD9" s="14" t="s">
        <v>48</v>
      </c>
    </row>
    <row r="10" spans="1:33" x14ac:dyDescent="0.2">
      <c r="A10" s="14" t="s">
        <v>1119</v>
      </c>
      <c r="B10" s="39">
        <f>SUMIF(TE!$A$48:'TE'!$A$85,$A$2,TE!$X$48:'TE'!$X$85)</f>
        <v>0</v>
      </c>
      <c r="C10" s="39">
        <f>SUMIF(TE!$A$48:'TE'!$A$85,$A$2,TE!$Y$48:'TE'!$Y$85)</f>
        <v>0</v>
      </c>
      <c r="D10" s="39">
        <f>SUMIF(TE!$A$48:'TE'!$A$85,$A$2,TE!$Z$48:'TE'!$Z$85)</f>
        <v>0</v>
      </c>
      <c r="E10" s="39">
        <f>SUMIF(TE!$A$48:'TE'!$A$85,$A$2,TE!$AA$48:'TE'!$AA$85)</f>
        <v>0</v>
      </c>
      <c r="F10" s="39">
        <f>SUMIF(TE!$A$48:'TE'!$A$85,$A$2,TE!$AB$48:'TE'!$AB$85)</f>
        <v>0</v>
      </c>
      <c r="G10" s="39">
        <f>SUMIF(TE!$A$48:'TE'!$A$85,$A$2,TE!$AC$48:'TE'!$AC$85)</f>
        <v>1678813.8978842618</v>
      </c>
      <c r="H10" s="39">
        <f>SUMIF(TE!$A$48:'TE'!$A$85,$A$2,TE!$AD$48:'TE'!$AD$85)</f>
        <v>0</v>
      </c>
      <c r="I10" s="39">
        <f>SUMIF(TE!$A$48:'TE'!$A$85,$A$2,TE!$AE$48:'TE'!$AE$85)</f>
        <v>0</v>
      </c>
      <c r="J10" s="39">
        <f>SUMIF(TE!$A$48:'TE'!$A$85,$A$2,TE!$AF$48:'TE'!$AF$85)</f>
        <v>0</v>
      </c>
      <c r="K10" s="39">
        <f>SUMIF(TE!$A$48:'TE'!$A$85,$A$2,TE!$AG$48:'TE'!$AG$85)</f>
        <v>0</v>
      </c>
      <c r="L10" s="39">
        <f>SUMIF(TE!$A$48:'TE'!$A$85,$A$2,TE!$AH$48:'TE'!$AH$85)</f>
        <v>0</v>
      </c>
      <c r="M10" s="39">
        <f t="shared" si="0"/>
        <v>1678813.8978842618</v>
      </c>
      <c r="AD10" s="14" t="s">
        <v>49</v>
      </c>
    </row>
    <row r="11" spans="1:33" x14ac:dyDescent="0.2">
      <c r="A11" s="14" t="s">
        <v>1120</v>
      </c>
      <c r="B11" s="39">
        <f>SUMIF(TE!$A$48:'TE'!$A$85,$A$2,TE!$L$48:'TE'!$L$85)</f>
        <v>0</v>
      </c>
      <c r="C11" s="39">
        <f>SUMIF(TE!$A$48:'TE'!$A$85,$A$2,TE!$M$48:'TE'!$M$85)</f>
        <v>0</v>
      </c>
      <c r="D11" s="39">
        <f>SUMIF(TE!$A$48:'TE'!$A$85,$A$2,TE!$N$48:'TE'!$N$85)</f>
        <v>0</v>
      </c>
      <c r="E11" s="39">
        <f>SUMIF(TE!$A$48:'TE'!$A$85,$A$2,TE!$O$48:'TE'!$O$85)</f>
        <v>0</v>
      </c>
      <c r="F11" s="39">
        <f>SUMIF(TE!$A$48:'TE'!$A$85,$A$2,TE!$P$48:'TE'!$P$85)</f>
        <v>0</v>
      </c>
      <c r="G11" s="39">
        <f>SUMIF(TE!$A$48:'TE'!$A$85,$A$2,TE!$Q$48:'TE'!$Q$85)</f>
        <v>1507259.6927522165</v>
      </c>
      <c r="H11" s="39">
        <f>SUMIF(TE!$A$48:'TE'!$A$85,$A$2,TE!$R$48:'TE'!$R$85)</f>
        <v>0</v>
      </c>
      <c r="I11" s="39">
        <f>SUMIF(TE!$A$48:'TE'!$A$85,$A$2,TE!$S$48:'TE'!$S$85)</f>
        <v>0</v>
      </c>
      <c r="J11" s="39">
        <f>SUMIF(TE!$A$48:'TE'!$A$85,$A$2,TE!$T$48:'TE'!$T$85)</f>
        <v>0</v>
      </c>
      <c r="K11" s="39">
        <f>SUMIF(TE!$A$48:'TE'!$A$85,$A$2,TE!$U$48:'TE'!$U$85)</f>
        <v>0</v>
      </c>
      <c r="L11" s="39">
        <f>SUMIF(TE!$A$48:'TE'!$A$85,$A$2,TE!$V$48:'TE'!$V$85)</f>
        <v>0</v>
      </c>
      <c r="M11" s="39">
        <f t="shared" si="0"/>
        <v>1507259.6927522165</v>
      </c>
    </row>
    <row r="13" spans="1:33" x14ac:dyDescent="0.2">
      <c r="A13" s="14" t="s">
        <v>1124</v>
      </c>
      <c r="B13" s="57">
        <f t="shared" ref="B13:M13" si="1">IF($M$6&lt;&gt;0,(B$7-B$6)/$M$6,0)</f>
        <v>0</v>
      </c>
      <c r="C13" s="57">
        <f t="shared" si="1"/>
        <v>0</v>
      </c>
      <c r="D13" s="57">
        <f t="shared" si="1"/>
        <v>0</v>
      </c>
      <c r="E13" s="57">
        <f t="shared" si="1"/>
        <v>0</v>
      </c>
      <c r="F13" s="57">
        <f t="shared" si="1"/>
        <v>0</v>
      </c>
      <c r="G13" s="57">
        <f t="shared" si="1"/>
        <v>-8.0176317969155447E-2</v>
      </c>
      <c r="H13" s="57">
        <f t="shared" si="1"/>
        <v>0</v>
      </c>
      <c r="I13" s="57">
        <f t="shared" si="1"/>
        <v>0</v>
      </c>
      <c r="J13" s="57">
        <f t="shared" si="1"/>
        <v>0</v>
      </c>
      <c r="K13" s="57">
        <f t="shared" si="1"/>
        <v>0</v>
      </c>
      <c r="L13" s="57">
        <f t="shared" si="1"/>
        <v>0</v>
      </c>
      <c r="M13" s="57">
        <f t="shared" si="1"/>
        <v>-8.0176317969155447E-2</v>
      </c>
    </row>
    <row r="14" spans="1:33" x14ac:dyDescent="0.2">
      <c r="A14" s="14" t="s">
        <v>1125</v>
      </c>
      <c r="B14" s="57">
        <f t="shared" ref="B14:M14" si="2">IF($M$10&lt;&gt;0,(B$9-B$8)/$M$10,0)</f>
        <v>0</v>
      </c>
      <c r="C14" s="57">
        <f t="shared" si="2"/>
        <v>0</v>
      </c>
      <c r="D14" s="57">
        <f t="shared" si="2"/>
        <v>0</v>
      </c>
      <c r="E14" s="57">
        <f t="shared" si="2"/>
        <v>0</v>
      </c>
      <c r="F14" s="57">
        <f t="shared" si="2"/>
        <v>0</v>
      </c>
      <c r="G14" s="57">
        <f t="shared" si="2"/>
        <v>-0.10218774418549181</v>
      </c>
      <c r="H14" s="57">
        <f t="shared" si="2"/>
        <v>0</v>
      </c>
      <c r="I14" s="57">
        <f t="shared" si="2"/>
        <v>0</v>
      </c>
      <c r="J14" s="57">
        <f t="shared" si="2"/>
        <v>0</v>
      </c>
      <c r="K14" s="57">
        <f t="shared" si="2"/>
        <v>0</v>
      </c>
      <c r="L14" s="57">
        <f t="shared" si="2"/>
        <v>0</v>
      </c>
      <c r="M14" s="57">
        <f t="shared" si="2"/>
        <v>-0.10218774418549181</v>
      </c>
    </row>
    <row r="15" spans="1:33" x14ac:dyDescent="0.2">
      <c r="A15" s="14" t="s">
        <v>1126</v>
      </c>
      <c r="B15" s="57">
        <f t="shared" ref="B15:M15" si="3">IF($M$8&lt;&gt;0,(B$9-B$8)/$M$8,0)</f>
        <v>0</v>
      </c>
      <c r="C15" s="57">
        <f t="shared" si="3"/>
        <v>0</v>
      </c>
      <c r="D15" s="57">
        <f t="shared" si="3"/>
        <v>0</v>
      </c>
      <c r="E15" s="57">
        <f t="shared" si="3"/>
        <v>0</v>
      </c>
      <c r="F15" s="57">
        <f t="shared" si="3"/>
        <v>0</v>
      </c>
      <c r="G15" s="57">
        <f t="shared" si="3"/>
        <v>-0.10218774418549181</v>
      </c>
      <c r="H15" s="57">
        <f t="shared" si="3"/>
        <v>0</v>
      </c>
      <c r="I15" s="57">
        <f t="shared" si="3"/>
        <v>0</v>
      </c>
      <c r="J15" s="57">
        <f t="shared" si="3"/>
        <v>0</v>
      </c>
      <c r="K15" s="57">
        <f t="shared" si="3"/>
        <v>0</v>
      </c>
      <c r="L15" s="57">
        <f t="shared" si="3"/>
        <v>0</v>
      </c>
      <c r="M15" s="57">
        <f t="shared" si="3"/>
        <v>-0.10218774418549181</v>
      </c>
    </row>
  </sheetData>
  <dataValidations count="4">
    <dataValidation type="list" allowBlank="1" showInputMessage="1" showErrorMessage="1" sqref="A2 G2" xr:uid="{FE428523-3D23-4105-B283-2A236FF97DE5}">
      <formula1>AA1:AA5</formula1>
    </dataValidation>
    <dataValidation type="list" allowBlank="1" showInputMessage="1" showErrorMessage="1" sqref="B2 C2" xr:uid="{665C88E2-C0FF-4F93-8B4F-361215E6A870}">
      <formula1>AB1:AB4</formula1>
    </dataValidation>
    <dataValidation type="list" allowBlank="1" showInputMessage="1" showErrorMessage="1" sqref="D2" xr:uid="{E0380B11-6B57-4F2A-994A-29612937A07F}">
      <formula1>AD1:AD10</formula1>
    </dataValidation>
    <dataValidation type="list" allowBlank="1" showInputMessage="1" showErrorMessage="1" sqref="E2 F2" xr:uid="{CFC9E7F2-E372-45E3-8840-7B5438304A8E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302B-D685-47E8-9485-211EA89B9344}">
  <dimension ref="B1:U16"/>
  <sheetViews>
    <sheetView showGridLines="0" topLeftCell="J1" workbookViewId="0">
      <selection activeCell="U1" sqref="U1"/>
    </sheetView>
  </sheetViews>
  <sheetFormatPr defaultRowHeight="14.4" x14ac:dyDescent="0.3"/>
  <sheetData>
    <row r="1" spans="2:21" x14ac:dyDescent="0.3">
      <c r="B1" s="51" t="s">
        <v>732</v>
      </c>
      <c r="C1" s="51" t="s">
        <v>733</v>
      </c>
      <c r="D1" s="51" t="s">
        <v>734</v>
      </c>
      <c r="E1" s="51" t="s">
        <v>2</v>
      </c>
      <c r="F1" s="51" t="s">
        <v>735</v>
      </c>
      <c r="G1" s="51" t="s">
        <v>642</v>
      </c>
      <c r="H1" s="51" t="s">
        <v>3</v>
      </c>
      <c r="I1" s="51" t="s">
        <v>736</v>
      </c>
      <c r="J1" s="51" t="s">
        <v>5</v>
      </c>
      <c r="K1" s="51" t="s">
        <v>1</v>
      </c>
      <c r="L1" s="51" t="s">
        <v>737</v>
      </c>
      <c r="M1" s="51" t="s">
        <v>738</v>
      </c>
      <c r="N1" s="51" t="s">
        <v>739</v>
      </c>
      <c r="O1" s="51" t="s">
        <v>740</v>
      </c>
      <c r="P1" s="51" t="s">
        <v>741</v>
      </c>
      <c r="Q1" s="51" t="s">
        <v>742</v>
      </c>
      <c r="R1" s="51" t="s">
        <v>743</v>
      </c>
      <c r="S1" s="51" t="s">
        <v>744</v>
      </c>
      <c r="T1" s="51" t="s">
        <v>745</v>
      </c>
      <c r="U1" s="51" t="s">
        <v>746</v>
      </c>
    </row>
    <row r="2" spans="2:21" x14ac:dyDescent="0.3">
      <c r="B2" s="50" t="s">
        <v>713</v>
      </c>
      <c r="C2" s="50">
        <v>8288</v>
      </c>
      <c r="D2" s="50">
        <v>5352</v>
      </c>
      <c r="E2" s="50" t="s">
        <v>41</v>
      </c>
      <c r="F2" s="50">
        <v>1</v>
      </c>
      <c r="G2" s="50" t="s">
        <v>714</v>
      </c>
      <c r="H2" s="50" t="s">
        <v>50</v>
      </c>
      <c r="I2" s="50" t="s">
        <v>51</v>
      </c>
      <c r="J2" s="50" t="s">
        <v>715</v>
      </c>
      <c r="K2" s="50" t="s">
        <v>37</v>
      </c>
      <c r="L2" s="50">
        <v>0.15</v>
      </c>
      <c r="M2" s="50">
        <v>0.12</v>
      </c>
      <c r="N2" s="50">
        <v>0.09</v>
      </c>
      <c r="O2" s="50">
        <v>0.06</v>
      </c>
      <c r="P2" s="50">
        <v>0.03</v>
      </c>
      <c r="Q2" s="50">
        <v>0</v>
      </c>
      <c r="R2" s="50"/>
      <c r="S2" s="50"/>
      <c r="T2" s="50"/>
      <c r="U2" s="50">
        <v>3</v>
      </c>
    </row>
    <row r="3" spans="2:21" x14ac:dyDescent="0.3">
      <c r="B3" s="50" t="s">
        <v>716</v>
      </c>
      <c r="C3" s="50">
        <v>8289</v>
      </c>
      <c r="D3" s="50">
        <v>5352</v>
      </c>
      <c r="E3" s="50" t="s">
        <v>38</v>
      </c>
      <c r="F3" s="50">
        <v>1</v>
      </c>
      <c r="G3" s="50" t="s">
        <v>714</v>
      </c>
      <c r="H3" s="50" t="s">
        <v>50</v>
      </c>
      <c r="I3" s="50" t="s">
        <v>51</v>
      </c>
      <c r="J3" s="50" t="s">
        <v>715</v>
      </c>
      <c r="K3" s="50" t="s">
        <v>37</v>
      </c>
      <c r="L3" s="50">
        <v>0.15</v>
      </c>
      <c r="M3" s="50">
        <v>0.12</v>
      </c>
      <c r="N3" s="50">
        <v>0.09</v>
      </c>
      <c r="O3" s="50">
        <v>0.06</v>
      </c>
      <c r="P3" s="50">
        <v>0.03</v>
      </c>
      <c r="Q3" s="50">
        <v>0</v>
      </c>
      <c r="R3" s="50"/>
      <c r="S3" s="50"/>
      <c r="T3" s="50"/>
      <c r="U3" s="50">
        <v>3</v>
      </c>
    </row>
    <row r="4" spans="2:21" x14ac:dyDescent="0.3">
      <c r="B4" s="50" t="s">
        <v>717</v>
      </c>
      <c r="C4" s="50">
        <v>8290</v>
      </c>
      <c r="D4" s="50">
        <v>5352</v>
      </c>
      <c r="E4" s="50" t="s">
        <v>718</v>
      </c>
      <c r="F4" s="50">
        <v>1</v>
      </c>
      <c r="G4" s="50" t="s">
        <v>714</v>
      </c>
      <c r="H4" s="50" t="s">
        <v>50</v>
      </c>
      <c r="I4" s="50" t="s">
        <v>51</v>
      </c>
      <c r="J4" s="50" t="s">
        <v>715</v>
      </c>
      <c r="K4" s="50" t="s">
        <v>37</v>
      </c>
      <c r="L4" s="50">
        <v>0.15</v>
      </c>
      <c r="M4" s="50">
        <v>0.12</v>
      </c>
      <c r="N4" s="50">
        <v>0.09</v>
      </c>
      <c r="O4" s="50">
        <v>0.06</v>
      </c>
      <c r="P4" s="50">
        <v>0.03</v>
      </c>
      <c r="Q4" s="50">
        <v>0</v>
      </c>
      <c r="R4" s="50"/>
      <c r="S4" s="50"/>
      <c r="T4" s="50"/>
      <c r="U4" s="50">
        <v>3</v>
      </c>
    </row>
    <row r="5" spans="2:21" x14ac:dyDescent="0.3">
      <c r="B5" s="50" t="s">
        <v>719</v>
      </c>
      <c r="C5" s="50">
        <v>8291</v>
      </c>
      <c r="D5" s="50">
        <v>5352</v>
      </c>
      <c r="E5" s="50" t="s">
        <v>23</v>
      </c>
      <c r="F5" s="50">
        <v>1</v>
      </c>
      <c r="G5" s="50" t="s">
        <v>714</v>
      </c>
      <c r="H5" s="50" t="s">
        <v>50</v>
      </c>
      <c r="I5" s="50" t="s">
        <v>51</v>
      </c>
      <c r="J5" s="50" t="s">
        <v>715</v>
      </c>
      <c r="K5" s="50" t="s">
        <v>35</v>
      </c>
      <c r="L5" s="50">
        <v>0.15</v>
      </c>
      <c r="M5" s="50">
        <v>0.12</v>
      </c>
      <c r="N5" s="50">
        <v>0.09</v>
      </c>
      <c r="O5" s="50">
        <v>0.06</v>
      </c>
      <c r="P5" s="50">
        <v>0.03</v>
      </c>
      <c r="Q5" s="50">
        <v>0</v>
      </c>
      <c r="R5" s="50"/>
      <c r="S5" s="50"/>
      <c r="T5" s="50"/>
      <c r="U5" s="50">
        <v>3</v>
      </c>
    </row>
    <row r="6" spans="2:21" x14ac:dyDescent="0.3">
      <c r="B6" s="50" t="s">
        <v>720</v>
      </c>
      <c r="C6" s="50">
        <v>8292</v>
      </c>
      <c r="D6" s="50">
        <v>5352</v>
      </c>
      <c r="E6" s="50" t="s">
        <v>33</v>
      </c>
      <c r="F6" s="50">
        <v>1</v>
      </c>
      <c r="G6" s="50" t="s">
        <v>714</v>
      </c>
      <c r="H6" s="50" t="s">
        <v>50</v>
      </c>
      <c r="I6" s="50" t="s">
        <v>51</v>
      </c>
      <c r="J6" s="50" t="s">
        <v>715</v>
      </c>
      <c r="K6" s="50" t="s">
        <v>35</v>
      </c>
      <c r="L6" s="50">
        <v>0.15</v>
      </c>
      <c r="M6" s="50">
        <v>0.12</v>
      </c>
      <c r="N6" s="50">
        <v>0.09</v>
      </c>
      <c r="O6" s="50">
        <v>0.06</v>
      </c>
      <c r="P6" s="50">
        <v>0.03</v>
      </c>
      <c r="Q6" s="50">
        <v>0</v>
      </c>
      <c r="R6" s="50"/>
      <c r="S6" s="50"/>
      <c r="T6" s="50"/>
      <c r="U6" s="50">
        <v>3</v>
      </c>
    </row>
    <row r="7" spans="2:21" x14ac:dyDescent="0.3">
      <c r="B7" s="50" t="s">
        <v>721</v>
      </c>
      <c r="C7" s="50">
        <v>8293</v>
      </c>
      <c r="D7" s="50">
        <v>5352</v>
      </c>
      <c r="E7" s="50" t="s">
        <v>23</v>
      </c>
      <c r="F7" s="50">
        <v>1</v>
      </c>
      <c r="G7" s="50" t="s">
        <v>714</v>
      </c>
      <c r="H7" s="50" t="s">
        <v>44</v>
      </c>
      <c r="I7" s="50" t="s">
        <v>86</v>
      </c>
      <c r="J7" s="50" t="s">
        <v>715</v>
      </c>
      <c r="K7" s="50" t="s">
        <v>43</v>
      </c>
      <c r="L7" s="50">
        <v>0.3</v>
      </c>
      <c r="M7" s="50">
        <v>0.24</v>
      </c>
      <c r="N7" s="50">
        <v>0.18</v>
      </c>
      <c r="O7" s="50">
        <v>0.12</v>
      </c>
      <c r="P7" s="50">
        <v>0.06</v>
      </c>
      <c r="Q7" s="50">
        <v>0</v>
      </c>
      <c r="R7" s="50"/>
      <c r="S7" s="50"/>
      <c r="T7" s="50"/>
      <c r="U7" s="50">
        <v>3</v>
      </c>
    </row>
    <row r="8" spans="2:21" x14ac:dyDescent="0.3">
      <c r="B8" s="50" t="s">
        <v>722</v>
      </c>
      <c r="C8" s="50">
        <v>8294</v>
      </c>
      <c r="D8" s="50">
        <v>5352</v>
      </c>
      <c r="E8" s="50" t="s">
        <v>723</v>
      </c>
      <c r="F8" s="50">
        <v>1</v>
      </c>
      <c r="G8" s="50" t="s">
        <v>714</v>
      </c>
      <c r="H8" s="50" t="s">
        <v>44</v>
      </c>
      <c r="I8" s="50" t="s">
        <v>86</v>
      </c>
      <c r="J8" s="50" t="s">
        <v>715</v>
      </c>
      <c r="K8" s="50" t="s">
        <v>43</v>
      </c>
      <c r="L8" s="50">
        <v>0.3</v>
      </c>
      <c r="M8" s="50">
        <v>0.24</v>
      </c>
      <c r="N8" s="50">
        <v>0.18</v>
      </c>
      <c r="O8" s="50">
        <v>0.12</v>
      </c>
      <c r="P8" s="50">
        <v>0.06</v>
      </c>
      <c r="Q8" s="50">
        <v>0</v>
      </c>
      <c r="R8" s="50"/>
      <c r="S8" s="50"/>
      <c r="T8" s="50"/>
      <c r="U8" s="50">
        <v>3</v>
      </c>
    </row>
    <row r="9" spans="2:21" x14ac:dyDescent="0.3">
      <c r="B9" s="50" t="s">
        <v>724</v>
      </c>
      <c r="C9" s="50">
        <v>8295</v>
      </c>
      <c r="D9" s="50">
        <v>5352</v>
      </c>
      <c r="E9" s="50" t="s">
        <v>23</v>
      </c>
      <c r="F9" s="50">
        <v>1</v>
      </c>
      <c r="G9" s="50" t="s">
        <v>714</v>
      </c>
      <c r="H9" s="50" t="s">
        <v>44</v>
      </c>
      <c r="I9" s="50" t="s">
        <v>25</v>
      </c>
      <c r="J9" s="50" t="s">
        <v>44</v>
      </c>
      <c r="K9" s="50" t="s">
        <v>43</v>
      </c>
      <c r="L9" s="50">
        <v>0.3</v>
      </c>
      <c r="M9" s="50">
        <v>0.24</v>
      </c>
      <c r="N9" s="50">
        <v>0.18</v>
      </c>
      <c r="O9" s="50">
        <v>0.12</v>
      </c>
      <c r="P9" s="50">
        <v>0.06</v>
      </c>
      <c r="Q9" s="50">
        <v>0</v>
      </c>
      <c r="R9" s="50"/>
      <c r="S9" s="50"/>
      <c r="T9" s="50"/>
      <c r="U9" s="50">
        <v>3</v>
      </c>
    </row>
    <row r="10" spans="2:21" x14ac:dyDescent="0.3">
      <c r="B10" s="50" t="s">
        <v>725</v>
      </c>
      <c r="C10" s="50">
        <v>8296</v>
      </c>
      <c r="D10" s="50">
        <v>5352</v>
      </c>
      <c r="E10" s="50" t="s">
        <v>41</v>
      </c>
      <c r="F10" s="50">
        <v>1</v>
      </c>
      <c r="G10" s="50" t="s">
        <v>714</v>
      </c>
      <c r="H10" s="50" t="s">
        <v>44</v>
      </c>
      <c r="I10" s="50" t="s">
        <v>25</v>
      </c>
      <c r="J10" s="50" t="s">
        <v>726</v>
      </c>
      <c r="K10" s="50" t="s">
        <v>37</v>
      </c>
      <c r="L10" s="50">
        <v>0.1</v>
      </c>
      <c r="M10" s="50">
        <v>0.08</v>
      </c>
      <c r="N10" s="50">
        <v>0.06</v>
      </c>
      <c r="O10" s="50">
        <v>0.04</v>
      </c>
      <c r="P10" s="50">
        <v>0.02</v>
      </c>
      <c r="Q10" s="50">
        <v>0</v>
      </c>
      <c r="R10" s="50"/>
      <c r="S10" s="50"/>
      <c r="T10" s="50"/>
      <c r="U10" s="50">
        <v>3</v>
      </c>
    </row>
    <row r="11" spans="2:21" x14ac:dyDescent="0.3">
      <c r="B11" s="50" t="s">
        <v>727</v>
      </c>
      <c r="C11" s="50">
        <v>8297</v>
      </c>
      <c r="D11" s="50">
        <v>5352</v>
      </c>
      <c r="E11" s="50" t="s">
        <v>38</v>
      </c>
      <c r="F11" s="50">
        <v>1</v>
      </c>
      <c r="G11" s="50" t="s">
        <v>714</v>
      </c>
      <c r="H11" s="50" t="s">
        <v>44</v>
      </c>
      <c r="I11" s="50" t="s">
        <v>25</v>
      </c>
      <c r="J11" s="50" t="s">
        <v>726</v>
      </c>
      <c r="K11" s="50" t="s">
        <v>37</v>
      </c>
      <c r="L11" s="50">
        <v>0.1</v>
      </c>
      <c r="M11" s="50">
        <v>0.08</v>
      </c>
      <c r="N11" s="50">
        <v>0.06</v>
      </c>
      <c r="O11" s="50">
        <v>0.04</v>
      </c>
      <c r="P11" s="50">
        <v>0.02</v>
      </c>
      <c r="Q11" s="50">
        <v>0</v>
      </c>
      <c r="R11" s="50"/>
      <c r="S11" s="50"/>
      <c r="T11" s="50"/>
      <c r="U11" s="50">
        <v>3</v>
      </c>
    </row>
    <row r="12" spans="2:21" x14ac:dyDescent="0.3">
      <c r="B12" s="50" t="s">
        <v>728</v>
      </c>
      <c r="C12" s="50">
        <v>8298</v>
      </c>
      <c r="D12" s="50">
        <v>5352</v>
      </c>
      <c r="E12" s="50" t="s">
        <v>23</v>
      </c>
      <c r="F12" s="50">
        <v>1</v>
      </c>
      <c r="G12" s="50" t="s">
        <v>714</v>
      </c>
      <c r="H12" s="50" t="s">
        <v>44</v>
      </c>
      <c r="I12" s="50" t="s">
        <v>25</v>
      </c>
      <c r="J12" s="50" t="s">
        <v>726</v>
      </c>
      <c r="K12" s="50" t="s">
        <v>37</v>
      </c>
      <c r="L12" s="50">
        <v>0.1</v>
      </c>
      <c r="M12" s="50">
        <v>0.08</v>
      </c>
      <c r="N12" s="50">
        <v>0.06</v>
      </c>
      <c r="O12" s="50">
        <v>0.04</v>
      </c>
      <c r="P12" s="50">
        <v>0.02</v>
      </c>
      <c r="Q12" s="50">
        <v>0</v>
      </c>
      <c r="R12" s="50"/>
      <c r="S12" s="50"/>
      <c r="T12" s="50"/>
      <c r="U12" s="50">
        <v>3</v>
      </c>
    </row>
    <row r="13" spans="2:21" x14ac:dyDescent="0.3">
      <c r="B13" s="50" t="s">
        <v>724</v>
      </c>
      <c r="C13" s="50">
        <v>8299</v>
      </c>
      <c r="D13" s="50">
        <v>5352</v>
      </c>
      <c r="E13" s="50" t="s">
        <v>23</v>
      </c>
      <c r="F13" s="50">
        <v>1</v>
      </c>
      <c r="G13" s="50" t="s">
        <v>714</v>
      </c>
      <c r="H13" s="50" t="s">
        <v>44</v>
      </c>
      <c r="I13" s="50" t="s">
        <v>25</v>
      </c>
      <c r="J13" s="50" t="s">
        <v>44</v>
      </c>
      <c r="K13" s="50" t="s">
        <v>43</v>
      </c>
      <c r="L13" s="50">
        <v>0.3</v>
      </c>
      <c r="M13" s="50">
        <v>0.24</v>
      </c>
      <c r="N13" s="50">
        <v>0.18</v>
      </c>
      <c r="O13" s="50">
        <v>0.12</v>
      </c>
      <c r="P13" s="50">
        <v>0.06</v>
      </c>
      <c r="Q13" s="50">
        <v>0</v>
      </c>
      <c r="R13" s="50"/>
      <c r="S13" s="50"/>
      <c r="T13" s="50"/>
      <c r="U13" s="50">
        <v>3</v>
      </c>
    </row>
    <row r="14" spans="2:21" x14ac:dyDescent="0.3">
      <c r="B14" s="50" t="s">
        <v>729</v>
      </c>
      <c r="C14" s="50">
        <v>8300</v>
      </c>
      <c r="D14" s="50">
        <v>5352</v>
      </c>
      <c r="E14" s="50" t="s">
        <v>33</v>
      </c>
      <c r="F14" s="50">
        <v>1</v>
      </c>
      <c r="G14" s="50" t="s">
        <v>714</v>
      </c>
      <c r="H14" s="50" t="s">
        <v>44</v>
      </c>
      <c r="I14" s="50" t="s">
        <v>25</v>
      </c>
      <c r="J14" s="50" t="s">
        <v>44</v>
      </c>
      <c r="K14" s="50" t="s">
        <v>43</v>
      </c>
      <c r="L14" s="50">
        <v>0.3</v>
      </c>
      <c r="M14" s="50">
        <v>0.24</v>
      </c>
      <c r="N14" s="50">
        <v>0.18</v>
      </c>
      <c r="O14" s="50">
        <v>0.12</v>
      </c>
      <c r="P14" s="50">
        <v>0.06</v>
      </c>
      <c r="Q14" s="50">
        <v>0</v>
      </c>
      <c r="R14" s="50"/>
      <c r="S14" s="50"/>
      <c r="T14" s="50"/>
      <c r="U14" s="50">
        <v>3</v>
      </c>
    </row>
    <row r="15" spans="2:21" x14ac:dyDescent="0.3">
      <c r="B15" s="50" t="s">
        <v>730</v>
      </c>
      <c r="C15" s="50">
        <v>8301</v>
      </c>
      <c r="D15" s="50">
        <v>5352</v>
      </c>
      <c r="E15" s="50" t="s">
        <v>23</v>
      </c>
      <c r="F15" s="50">
        <v>1</v>
      </c>
      <c r="G15" s="50" t="s">
        <v>714</v>
      </c>
      <c r="H15" s="50" t="s">
        <v>44</v>
      </c>
      <c r="I15" s="50" t="s">
        <v>87</v>
      </c>
      <c r="J15" s="50" t="s">
        <v>715</v>
      </c>
      <c r="K15" s="50" t="s">
        <v>43</v>
      </c>
      <c r="L15" s="50">
        <v>0.4</v>
      </c>
      <c r="M15" s="50">
        <v>0.32</v>
      </c>
      <c r="N15" s="50">
        <v>0.24</v>
      </c>
      <c r="O15" s="50">
        <v>0.16</v>
      </c>
      <c r="P15" s="50">
        <v>0.08</v>
      </c>
      <c r="Q15" s="50">
        <v>0</v>
      </c>
      <c r="R15" s="50"/>
      <c r="S15" s="50"/>
      <c r="T15" s="50"/>
      <c r="U15" s="50">
        <v>3</v>
      </c>
    </row>
    <row r="16" spans="2:21" x14ac:dyDescent="0.3">
      <c r="B16" s="50" t="s">
        <v>731</v>
      </c>
      <c r="C16" s="50">
        <v>8302</v>
      </c>
      <c r="D16" s="50">
        <v>5352</v>
      </c>
      <c r="E16" s="50" t="s">
        <v>723</v>
      </c>
      <c r="F16" s="50">
        <v>1</v>
      </c>
      <c r="G16" s="50" t="s">
        <v>714</v>
      </c>
      <c r="H16" s="50" t="s">
        <v>44</v>
      </c>
      <c r="I16" s="50" t="s">
        <v>87</v>
      </c>
      <c r="J16" s="50" t="s">
        <v>715</v>
      </c>
      <c r="K16" s="50" t="s">
        <v>43</v>
      </c>
      <c r="L16" s="50">
        <v>0.4</v>
      </c>
      <c r="M16" s="50">
        <v>0.32</v>
      </c>
      <c r="N16" s="50">
        <v>0.24</v>
      </c>
      <c r="O16" s="50">
        <v>0.16</v>
      </c>
      <c r="P16" s="50">
        <v>0.08</v>
      </c>
      <c r="Q16" s="50">
        <v>0</v>
      </c>
      <c r="R16" s="50"/>
      <c r="S16" s="50"/>
      <c r="T16" s="50"/>
      <c r="U16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D2BB-D30F-43B6-A4CE-32BEDCE7DD68}">
  <dimension ref="A1:L18"/>
  <sheetViews>
    <sheetView showGridLines="0" workbookViewId="0">
      <selection activeCell="F8" sqref="F8"/>
    </sheetView>
  </sheetViews>
  <sheetFormatPr defaultColWidth="9.109375" defaultRowHeight="10.199999999999999" x14ac:dyDescent="0.2"/>
  <cols>
    <col min="1" max="1" width="31.44140625" style="14" bestFit="1" customWidth="1"/>
    <col min="2" max="2" width="18.44140625" style="14" customWidth="1"/>
    <col min="3" max="12" width="11" style="14" customWidth="1"/>
    <col min="13" max="16384" width="9.109375" style="14"/>
  </cols>
  <sheetData>
    <row r="1" spans="1:12" ht="10.8" thickBot="1" x14ac:dyDescent="0.25">
      <c r="A1" s="73" t="s">
        <v>1141</v>
      </c>
      <c r="B1" s="73" t="s">
        <v>22</v>
      </c>
      <c r="C1" s="73" t="s">
        <v>1140</v>
      </c>
      <c r="D1" s="73" t="s">
        <v>1139</v>
      </c>
      <c r="E1" s="73" t="s">
        <v>35</v>
      </c>
      <c r="F1" s="73" t="s">
        <v>1138</v>
      </c>
      <c r="G1" s="73" t="s">
        <v>1137</v>
      </c>
      <c r="H1" s="73" t="s">
        <v>635</v>
      </c>
      <c r="I1" s="73" t="s">
        <v>37</v>
      </c>
      <c r="J1" s="73" t="s">
        <v>634</v>
      </c>
      <c r="K1" s="73" t="s">
        <v>633</v>
      </c>
      <c r="L1" s="73" t="s">
        <v>632</v>
      </c>
    </row>
    <row r="2" spans="1:12" x14ac:dyDescent="0.2">
      <c r="A2" s="69" t="s">
        <v>1136</v>
      </c>
      <c r="B2" s="75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1888.024195022854</v>
      </c>
      <c r="C2" s="75">
        <f t="shared" si="0"/>
        <v>1774.6055859337471</v>
      </c>
      <c r="D2" s="75">
        <f t="shared" si="0"/>
        <v>1736.6235400992557</v>
      </c>
      <c r="E2" s="75">
        <f t="shared" si="0"/>
        <v>1888.024195022854</v>
      </c>
      <c r="F2" s="75">
        <f t="shared" si="0"/>
        <v>1038.1759194761041</v>
      </c>
      <c r="G2" s="75">
        <f t="shared" si="0"/>
        <v>1132.6035056479652</v>
      </c>
      <c r="H2" s="75">
        <f t="shared" si="0"/>
        <v>0</v>
      </c>
      <c r="I2" s="75">
        <f t="shared" si="0"/>
        <v>2307.6961008622493</v>
      </c>
      <c r="J2" s="75">
        <f t="shared" si="0"/>
        <v>0</v>
      </c>
      <c r="K2" s="75">
        <f t="shared" si="0"/>
        <v>0</v>
      </c>
      <c r="L2" s="75">
        <f t="shared" si="0"/>
        <v>0</v>
      </c>
    </row>
    <row r="3" spans="1:12" ht="10.8" thickBot="1" x14ac:dyDescent="0.25">
      <c r="A3" s="67" t="s">
        <v>1135</v>
      </c>
      <c r="B3" s="74">
        <v>35.79</v>
      </c>
      <c r="C3" s="74">
        <v>33.64</v>
      </c>
      <c r="D3" s="74">
        <v>32.92</v>
      </c>
      <c r="E3" s="74">
        <v>35.79</v>
      </c>
      <c r="F3" s="74">
        <v>19.68</v>
      </c>
      <c r="G3" s="74">
        <v>21.47</v>
      </c>
      <c r="H3" s="74">
        <v>0</v>
      </c>
      <c r="I3" s="74">
        <f>'TUSD BE'!$AC$6</f>
        <v>43.745436985175999</v>
      </c>
      <c r="J3" s="74">
        <v>0</v>
      </c>
      <c r="K3" s="74">
        <v>0</v>
      </c>
      <c r="L3" s="74">
        <v>0</v>
      </c>
    </row>
    <row r="5" spans="1:12" ht="10.8" thickBot="1" x14ac:dyDescent="0.25">
      <c r="A5" s="73" t="s">
        <v>1134</v>
      </c>
      <c r="B5" s="73" t="s">
        <v>1133</v>
      </c>
    </row>
    <row r="6" spans="1:12" x14ac:dyDescent="0.2">
      <c r="A6" s="69" t="s">
        <v>1132</v>
      </c>
      <c r="B6" s="72">
        <v>9.9699999999999997E-2</v>
      </c>
    </row>
    <row r="7" spans="1:12" x14ac:dyDescent="0.2">
      <c r="A7" s="71" t="s">
        <v>1131</v>
      </c>
      <c r="B7" s="70">
        <v>0</v>
      </c>
    </row>
    <row r="8" spans="1:12" x14ac:dyDescent="0.2">
      <c r="A8" s="69" t="s">
        <v>1130</v>
      </c>
      <c r="B8" s="68">
        <v>22169354.55968358</v>
      </c>
    </row>
    <row r="9" spans="1:12" x14ac:dyDescent="0.2">
      <c r="A9" s="71" t="s">
        <v>1129</v>
      </c>
      <c r="B9" s="70">
        <v>0.04</v>
      </c>
    </row>
    <row r="10" spans="1:12" x14ac:dyDescent="0.2">
      <c r="A10" s="69" t="s">
        <v>1128</v>
      </c>
      <c r="B10" s="68">
        <v>11457347.989836469</v>
      </c>
    </row>
    <row r="11" spans="1:12" ht="10.8" thickBot="1" x14ac:dyDescent="0.25">
      <c r="A11" s="67" t="s">
        <v>1127</v>
      </c>
      <c r="B11" s="66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6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041-2A1B-4213-BF62-5CADBE578102}">
  <dimension ref="B1:AT50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9" t="s">
        <v>1181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3">
      <c r="L2" s="120" t="s">
        <v>500</v>
      </c>
      <c r="M2" s="120"/>
      <c r="N2" s="120"/>
      <c r="O2" s="120"/>
      <c r="P2" s="120"/>
      <c r="Q2" s="120"/>
      <c r="R2" s="120"/>
      <c r="S2" s="121"/>
      <c r="T2" s="120" t="s">
        <v>509</v>
      </c>
      <c r="U2" s="120"/>
      <c r="V2" s="120"/>
      <c r="W2" s="120"/>
      <c r="X2" s="120"/>
      <c r="Y2" s="120"/>
      <c r="Z2" s="121"/>
      <c r="AA2" s="122" t="s">
        <v>517</v>
      </c>
      <c r="AB2" s="120" t="s">
        <v>25</v>
      </c>
      <c r="AC2" s="120"/>
      <c r="AD2" s="121"/>
      <c r="AE2" s="120" t="s">
        <v>1180</v>
      </c>
      <c r="AF2" s="120"/>
      <c r="AG2" s="120"/>
      <c r="AH2" s="121"/>
      <c r="AI2" s="120" t="s">
        <v>500</v>
      </c>
      <c r="AJ2" s="120"/>
      <c r="AK2" s="120"/>
      <c r="AL2" s="120"/>
      <c r="AM2" s="121"/>
      <c r="AN2" s="122" t="s">
        <v>531</v>
      </c>
      <c r="AO2" s="120" t="s">
        <v>509</v>
      </c>
      <c r="AP2" s="120"/>
      <c r="AQ2" s="120"/>
      <c r="AR2" s="120"/>
      <c r="AS2" s="121"/>
      <c r="AT2" s="123" t="s">
        <v>1180</v>
      </c>
    </row>
    <row r="3" spans="2:46" ht="12" customHeight="1" x14ac:dyDescent="0.3">
      <c r="B3" s="110" t="s">
        <v>60</v>
      </c>
      <c r="C3" s="111" t="s">
        <v>61</v>
      </c>
      <c r="D3" s="111" t="s">
        <v>62</v>
      </c>
      <c r="E3" s="111" t="s">
        <v>63</v>
      </c>
      <c r="F3" s="111" t="s">
        <v>64</v>
      </c>
      <c r="G3" s="111" t="s">
        <v>66</v>
      </c>
      <c r="H3" s="111" t="s">
        <v>67</v>
      </c>
      <c r="I3" s="111" t="s">
        <v>777</v>
      </c>
      <c r="J3" s="111" t="s">
        <v>1142</v>
      </c>
      <c r="K3" s="111" t="s">
        <v>1143</v>
      </c>
      <c r="L3" s="111" t="s">
        <v>1144</v>
      </c>
      <c r="M3" s="111" t="s">
        <v>1145</v>
      </c>
      <c r="N3" s="111" t="s">
        <v>1146</v>
      </c>
      <c r="O3" s="111" t="s">
        <v>1147</v>
      </c>
      <c r="P3" s="111" t="s">
        <v>1148</v>
      </c>
      <c r="Q3" s="111" t="s">
        <v>1149</v>
      </c>
      <c r="R3" s="111" t="s">
        <v>1150</v>
      </c>
      <c r="S3" s="111" t="s">
        <v>1151</v>
      </c>
      <c r="T3" s="111" t="s">
        <v>1152</v>
      </c>
      <c r="U3" s="111" t="s">
        <v>1153</v>
      </c>
      <c r="V3" s="111" t="s">
        <v>1154</v>
      </c>
      <c r="W3" s="111" t="s">
        <v>1155</v>
      </c>
      <c r="X3" s="111" t="s">
        <v>1156</v>
      </c>
      <c r="Y3" s="111" t="s">
        <v>1157</v>
      </c>
      <c r="Z3" s="111" t="s">
        <v>1158</v>
      </c>
      <c r="AA3" s="111" t="s">
        <v>1159</v>
      </c>
      <c r="AB3" s="111" t="s">
        <v>1160</v>
      </c>
      <c r="AC3" s="111" t="s">
        <v>1161</v>
      </c>
      <c r="AD3" s="111" t="s">
        <v>1162</v>
      </c>
      <c r="AE3" s="111" t="s">
        <v>1163</v>
      </c>
      <c r="AF3" s="111" t="s">
        <v>1164</v>
      </c>
      <c r="AG3" s="111" t="s">
        <v>1165</v>
      </c>
      <c r="AH3" s="111" t="s">
        <v>1166</v>
      </c>
      <c r="AI3" s="111" t="s">
        <v>1167</v>
      </c>
      <c r="AJ3" s="111" t="s">
        <v>1168</v>
      </c>
      <c r="AK3" s="111" t="s">
        <v>1169</v>
      </c>
      <c r="AL3" s="111" t="s">
        <v>1170</v>
      </c>
      <c r="AM3" s="111" t="s">
        <v>1171</v>
      </c>
      <c r="AN3" s="111" t="s">
        <v>1172</v>
      </c>
      <c r="AO3" s="111" t="s">
        <v>1173</v>
      </c>
      <c r="AP3" s="111" t="s">
        <v>1174</v>
      </c>
      <c r="AQ3" s="111" t="s">
        <v>1175</v>
      </c>
      <c r="AR3" s="111" t="s">
        <v>1176</v>
      </c>
      <c r="AS3" s="111" t="s">
        <v>1177</v>
      </c>
      <c r="AT3" s="112" t="s">
        <v>1178</v>
      </c>
    </row>
    <row r="4" spans="2:46" ht="12" customHeight="1" x14ac:dyDescent="0.3">
      <c r="B4" s="113" t="s">
        <v>37</v>
      </c>
      <c r="C4" s="114" t="s">
        <v>41</v>
      </c>
      <c r="D4" s="114" t="s">
        <v>25</v>
      </c>
      <c r="E4" s="114" t="s">
        <v>25</v>
      </c>
      <c r="F4" s="114" t="s">
        <v>78</v>
      </c>
      <c r="G4" s="114" t="s">
        <v>39</v>
      </c>
      <c r="H4" s="114" t="s">
        <v>70</v>
      </c>
      <c r="I4" s="114" t="s">
        <v>25</v>
      </c>
      <c r="J4" s="114">
        <v>12.72</v>
      </c>
      <c r="K4" s="114">
        <v>0</v>
      </c>
      <c r="L4" s="114">
        <v>0</v>
      </c>
      <c r="M4" s="114">
        <v>1.13690020139722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11.586136688545</v>
      </c>
      <c r="AF4" s="114">
        <v>0</v>
      </c>
      <c r="AG4" s="114">
        <v>0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3">
      <c r="B5" s="113" t="s">
        <v>37</v>
      </c>
      <c r="C5" s="114" t="s">
        <v>41</v>
      </c>
      <c r="D5" s="114" t="s">
        <v>25</v>
      </c>
      <c r="E5" s="114" t="s">
        <v>25</v>
      </c>
      <c r="F5" s="114" t="s">
        <v>78</v>
      </c>
      <c r="G5" s="114" t="s">
        <v>39</v>
      </c>
      <c r="H5" s="114" t="s">
        <v>75</v>
      </c>
      <c r="I5" s="114" t="s">
        <v>25</v>
      </c>
      <c r="J5" s="114">
        <v>99.83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38.993051515073397</v>
      </c>
      <c r="Y5" s="114">
        <v>0</v>
      </c>
      <c r="Z5" s="114">
        <v>0</v>
      </c>
      <c r="AA5" s="114">
        <v>60.838759569271303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3">
      <c r="B6" s="113" t="s">
        <v>37</v>
      </c>
      <c r="C6" s="114" t="s">
        <v>41</v>
      </c>
      <c r="D6" s="114" t="s">
        <v>25</v>
      </c>
      <c r="E6" s="114" t="s">
        <v>25</v>
      </c>
      <c r="F6" s="114" t="s">
        <v>78</v>
      </c>
      <c r="G6" s="114" t="s">
        <v>34</v>
      </c>
      <c r="H6" s="114" t="s">
        <v>70</v>
      </c>
      <c r="I6" s="114" t="s">
        <v>25</v>
      </c>
      <c r="J6" s="114">
        <v>12.72</v>
      </c>
      <c r="K6" s="114">
        <v>0</v>
      </c>
      <c r="L6" s="114">
        <v>0</v>
      </c>
      <c r="M6" s="114">
        <v>1.13690020139722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11.586136688545</v>
      </c>
      <c r="AF6" s="114">
        <v>0</v>
      </c>
      <c r="AG6" s="114">
        <v>0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3">
      <c r="B7" s="113" t="s">
        <v>37</v>
      </c>
      <c r="C7" s="114" t="s">
        <v>41</v>
      </c>
      <c r="D7" s="114" t="s">
        <v>25</v>
      </c>
      <c r="E7" s="114" t="s">
        <v>25</v>
      </c>
      <c r="F7" s="114" t="s">
        <v>78</v>
      </c>
      <c r="G7" s="114" t="s">
        <v>34</v>
      </c>
      <c r="H7" s="114" t="s">
        <v>75</v>
      </c>
      <c r="I7" s="114" t="s">
        <v>25</v>
      </c>
      <c r="J7" s="114">
        <v>32.76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15.7604770096015</v>
      </c>
      <c r="Y7" s="114">
        <v>0</v>
      </c>
      <c r="Z7" s="114">
        <v>0</v>
      </c>
      <c r="AA7" s="114">
        <v>17.0003903138137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3">
      <c r="B8" s="113" t="s">
        <v>37</v>
      </c>
      <c r="C8" s="114" t="s">
        <v>41</v>
      </c>
      <c r="D8" s="114" t="s">
        <v>25</v>
      </c>
      <c r="E8" s="114" t="s">
        <v>25</v>
      </c>
      <c r="F8" s="114" t="s">
        <v>25</v>
      </c>
      <c r="G8" s="114" t="s">
        <v>39</v>
      </c>
      <c r="H8" s="114" t="s">
        <v>70</v>
      </c>
      <c r="I8" s="114" t="s">
        <v>25</v>
      </c>
      <c r="J8" s="114">
        <v>104.33</v>
      </c>
      <c r="K8" s="114">
        <v>166.76</v>
      </c>
      <c r="L8" s="114">
        <v>0</v>
      </c>
      <c r="M8" s="114">
        <v>1.13690020139722</v>
      </c>
      <c r="N8" s="114">
        <v>0</v>
      </c>
      <c r="O8" s="114">
        <v>0</v>
      </c>
      <c r="P8" s="114">
        <v>0</v>
      </c>
      <c r="Q8" s="114">
        <v>77.110140446439502</v>
      </c>
      <c r="R8" s="114">
        <v>14.499870257332301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11.586136688545</v>
      </c>
      <c r="AF8" s="114">
        <v>0</v>
      </c>
      <c r="AG8" s="114">
        <v>0</v>
      </c>
      <c r="AH8" s="114">
        <v>0</v>
      </c>
      <c r="AI8" s="114">
        <v>0</v>
      </c>
      <c r="AJ8" s="114">
        <v>0</v>
      </c>
      <c r="AK8" s="114">
        <v>0</v>
      </c>
      <c r="AL8" s="114">
        <v>0</v>
      </c>
      <c r="AM8" s="114">
        <v>0</v>
      </c>
      <c r="AN8" s="114">
        <v>166.763498158695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3">
      <c r="B9" s="113" t="s">
        <v>37</v>
      </c>
      <c r="C9" s="114" t="s">
        <v>41</v>
      </c>
      <c r="D9" s="114" t="s">
        <v>25</v>
      </c>
      <c r="E9" s="114" t="s">
        <v>25</v>
      </c>
      <c r="F9" s="114" t="s">
        <v>25</v>
      </c>
      <c r="G9" s="114" t="s">
        <v>39</v>
      </c>
      <c r="H9" s="114" t="s">
        <v>75</v>
      </c>
      <c r="I9" s="114" t="s">
        <v>25</v>
      </c>
      <c r="J9" s="114">
        <v>99.83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38.993051515073397</v>
      </c>
      <c r="Y9" s="114">
        <v>0</v>
      </c>
      <c r="Z9" s="114">
        <v>0</v>
      </c>
      <c r="AA9" s="114">
        <v>60.838759569271303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3">
      <c r="B10" s="113" t="s">
        <v>37</v>
      </c>
      <c r="C10" s="114" t="s">
        <v>41</v>
      </c>
      <c r="D10" s="114" t="s">
        <v>25</v>
      </c>
      <c r="E10" s="114" t="s">
        <v>25</v>
      </c>
      <c r="F10" s="114" t="s">
        <v>25</v>
      </c>
      <c r="G10" s="114" t="s">
        <v>34</v>
      </c>
      <c r="H10" s="114" t="s">
        <v>70</v>
      </c>
      <c r="I10" s="114" t="s">
        <v>25</v>
      </c>
      <c r="J10" s="114">
        <v>104.33</v>
      </c>
      <c r="K10" s="114">
        <v>166.76</v>
      </c>
      <c r="L10" s="114">
        <v>0</v>
      </c>
      <c r="M10" s="114">
        <v>1.13690020139722</v>
      </c>
      <c r="N10" s="114">
        <v>0</v>
      </c>
      <c r="O10" s="114">
        <v>0</v>
      </c>
      <c r="P10" s="114">
        <v>0</v>
      </c>
      <c r="Q10" s="114">
        <v>77.110140446439502</v>
      </c>
      <c r="R10" s="114">
        <v>14.499870257332301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11.586136688545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166.763498158695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3">
      <c r="B11" s="113" t="s">
        <v>37</v>
      </c>
      <c r="C11" s="114" t="s">
        <v>41</v>
      </c>
      <c r="D11" s="114" t="s">
        <v>25</v>
      </c>
      <c r="E11" s="114" t="s">
        <v>25</v>
      </c>
      <c r="F11" s="114" t="s">
        <v>25</v>
      </c>
      <c r="G11" s="114" t="s">
        <v>34</v>
      </c>
      <c r="H11" s="114" t="s">
        <v>75</v>
      </c>
      <c r="I11" s="114" t="s">
        <v>25</v>
      </c>
      <c r="J11" s="114">
        <v>32.76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15.7604770096015</v>
      </c>
      <c r="Y11" s="114">
        <v>0</v>
      </c>
      <c r="Z11" s="114">
        <v>0</v>
      </c>
      <c r="AA11" s="114">
        <v>17.0003903138137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3">
      <c r="B12" s="113" t="s">
        <v>37</v>
      </c>
      <c r="C12" s="114" t="s">
        <v>23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70</v>
      </c>
      <c r="I12" s="114" t="s">
        <v>25</v>
      </c>
      <c r="J12" s="114">
        <v>0</v>
      </c>
      <c r="K12" s="114">
        <v>166.76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166.763498158695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3">
      <c r="B13" s="113" t="s">
        <v>37</v>
      </c>
      <c r="C13" s="114" t="s">
        <v>79</v>
      </c>
      <c r="D13" s="114" t="s">
        <v>25</v>
      </c>
      <c r="E13" s="114" t="s">
        <v>25</v>
      </c>
      <c r="F13" s="114" t="s">
        <v>25</v>
      </c>
      <c r="G13" s="114" t="s">
        <v>25</v>
      </c>
      <c r="H13" s="114" t="s">
        <v>75</v>
      </c>
      <c r="I13" s="114" t="s">
        <v>25</v>
      </c>
      <c r="J13" s="114">
        <v>4.63</v>
      </c>
      <c r="K13" s="114">
        <v>0</v>
      </c>
      <c r="L13" s="114">
        <v>0</v>
      </c>
      <c r="M13" s="114">
        <v>1.11962393639406E-2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4.6145992226305799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3">
      <c r="B14" s="113" t="s">
        <v>37</v>
      </c>
      <c r="C14" s="114" t="s">
        <v>38</v>
      </c>
      <c r="D14" s="114" t="s">
        <v>25</v>
      </c>
      <c r="E14" s="114" t="s">
        <v>25</v>
      </c>
      <c r="F14" s="114" t="s">
        <v>78</v>
      </c>
      <c r="G14" s="114" t="s">
        <v>39</v>
      </c>
      <c r="H14" s="114" t="s">
        <v>70</v>
      </c>
      <c r="I14" s="114" t="s">
        <v>25</v>
      </c>
      <c r="J14" s="114">
        <v>2414.0500000000002</v>
      </c>
      <c r="K14" s="114">
        <v>0</v>
      </c>
      <c r="L14" s="114">
        <v>0</v>
      </c>
      <c r="M14" s="114">
        <v>1.13690020139722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938.15652308021902</v>
      </c>
      <c r="Y14" s="114">
        <v>0</v>
      </c>
      <c r="Z14" s="114">
        <v>0</v>
      </c>
      <c r="AA14" s="114">
        <v>1463.1732584404699</v>
      </c>
      <c r="AB14" s="114">
        <v>0</v>
      </c>
      <c r="AC14" s="114">
        <v>0</v>
      </c>
      <c r="AD14" s="114">
        <v>0</v>
      </c>
      <c r="AE14" s="114">
        <v>11.586136688545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3">
      <c r="B15" s="113" t="s">
        <v>37</v>
      </c>
      <c r="C15" s="114" t="s">
        <v>38</v>
      </c>
      <c r="D15" s="114" t="s">
        <v>25</v>
      </c>
      <c r="E15" s="114" t="s">
        <v>25</v>
      </c>
      <c r="F15" s="114" t="s">
        <v>78</v>
      </c>
      <c r="G15" s="114" t="s">
        <v>25</v>
      </c>
      <c r="H15" s="114" t="s">
        <v>75</v>
      </c>
      <c r="I15" s="114" t="s">
        <v>25</v>
      </c>
      <c r="J15" s="114">
        <v>32.76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15.7604770096015</v>
      </c>
      <c r="Y15" s="114">
        <v>0</v>
      </c>
      <c r="Z15" s="114">
        <v>0</v>
      </c>
      <c r="AA15" s="114">
        <v>17.0003903138137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3">
      <c r="B16" s="113" t="s">
        <v>37</v>
      </c>
      <c r="C16" s="114" t="s">
        <v>38</v>
      </c>
      <c r="D16" s="114" t="s">
        <v>25</v>
      </c>
      <c r="E16" s="114" t="s">
        <v>25</v>
      </c>
      <c r="F16" s="114" t="s">
        <v>78</v>
      </c>
      <c r="G16" s="114" t="s">
        <v>34</v>
      </c>
      <c r="H16" s="114" t="s">
        <v>70</v>
      </c>
      <c r="I16" s="114" t="s">
        <v>25</v>
      </c>
      <c r="J16" s="114">
        <v>12.72</v>
      </c>
      <c r="K16" s="114">
        <v>0</v>
      </c>
      <c r="L16" s="114">
        <v>0</v>
      </c>
      <c r="M16" s="114">
        <v>1.13690020139722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11.586136688545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3">
      <c r="B17" s="113" t="s">
        <v>37</v>
      </c>
      <c r="C17" s="114" t="s">
        <v>38</v>
      </c>
      <c r="D17" s="114" t="s">
        <v>25</v>
      </c>
      <c r="E17" s="114" t="s">
        <v>25</v>
      </c>
      <c r="F17" s="114" t="s">
        <v>25</v>
      </c>
      <c r="G17" s="114" t="s">
        <v>39</v>
      </c>
      <c r="H17" s="114" t="s">
        <v>70</v>
      </c>
      <c r="I17" s="114" t="s">
        <v>25</v>
      </c>
      <c r="J17" s="114">
        <v>2505.66</v>
      </c>
      <c r="K17" s="114">
        <v>166.76</v>
      </c>
      <c r="L17" s="114">
        <v>0</v>
      </c>
      <c r="M17" s="114">
        <v>1.13690020139722</v>
      </c>
      <c r="N17" s="114">
        <v>0</v>
      </c>
      <c r="O17" s="114">
        <v>0</v>
      </c>
      <c r="P17" s="114">
        <v>0</v>
      </c>
      <c r="Q17" s="114">
        <v>77.110140446439502</v>
      </c>
      <c r="R17" s="114">
        <v>14.499870257332301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938.15652308021902</v>
      </c>
      <c r="Y17" s="114">
        <v>0</v>
      </c>
      <c r="Z17" s="114">
        <v>0</v>
      </c>
      <c r="AA17" s="114">
        <v>1463.1732584404699</v>
      </c>
      <c r="AB17" s="114">
        <v>0</v>
      </c>
      <c r="AC17" s="114">
        <v>0</v>
      </c>
      <c r="AD17" s="114">
        <v>0</v>
      </c>
      <c r="AE17" s="114">
        <v>11.586136688545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4">
        <v>166.763498158695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3">
      <c r="B18" s="113" t="s">
        <v>37</v>
      </c>
      <c r="C18" s="114" t="s">
        <v>38</v>
      </c>
      <c r="D18" s="114" t="s">
        <v>25</v>
      </c>
      <c r="E18" s="114" t="s">
        <v>25</v>
      </c>
      <c r="F18" s="114" t="s">
        <v>25</v>
      </c>
      <c r="G18" s="114" t="s">
        <v>25</v>
      </c>
      <c r="H18" s="114" t="s">
        <v>75</v>
      </c>
      <c r="I18" s="114" t="s">
        <v>25</v>
      </c>
      <c r="J18" s="114">
        <v>32.76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15.7604770096015</v>
      </c>
      <c r="Y18" s="114">
        <v>0</v>
      </c>
      <c r="Z18" s="114">
        <v>0</v>
      </c>
      <c r="AA18" s="114">
        <v>17.0003903138137</v>
      </c>
      <c r="AB18" s="114">
        <v>0</v>
      </c>
      <c r="AC18" s="114">
        <v>0</v>
      </c>
      <c r="AD18" s="114">
        <v>0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3">
      <c r="B19" s="113" t="s">
        <v>37</v>
      </c>
      <c r="C19" s="114" t="s">
        <v>38</v>
      </c>
      <c r="D19" s="114" t="s">
        <v>25</v>
      </c>
      <c r="E19" s="114" t="s">
        <v>25</v>
      </c>
      <c r="F19" s="114" t="s">
        <v>25</v>
      </c>
      <c r="G19" s="114" t="s">
        <v>34</v>
      </c>
      <c r="H19" s="114" t="s">
        <v>70</v>
      </c>
      <c r="I19" s="114" t="s">
        <v>25</v>
      </c>
      <c r="J19" s="114">
        <v>104.33</v>
      </c>
      <c r="K19" s="114">
        <v>166.76</v>
      </c>
      <c r="L19" s="114">
        <v>0</v>
      </c>
      <c r="M19" s="114">
        <v>1.13690020139722</v>
      </c>
      <c r="N19" s="114">
        <v>0</v>
      </c>
      <c r="O19" s="114">
        <v>0</v>
      </c>
      <c r="P19" s="114">
        <v>0</v>
      </c>
      <c r="Q19" s="114">
        <v>77.110140446439502</v>
      </c>
      <c r="R19" s="114">
        <v>14.499870257332301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0</v>
      </c>
      <c r="AB19" s="114">
        <v>0</v>
      </c>
      <c r="AC19" s="114">
        <v>0</v>
      </c>
      <c r="AD19" s="114">
        <v>0</v>
      </c>
      <c r="AE19" s="114">
        <v>11.586136688545</v>
      </c>
      <c r="AF19" s="114">
        <v>0</v>
      </c>
      <c r="AG19" s="114">
        <v>0</v>
      </c>
      <c r="AH19" s="114">
        <v>0</v>
      </c>
      <c r="AI19" s="114">
        <v>0</v>
      </c>
      <c r="AJ19" s="114">
        <v>0</v>
      </c>
      <c r="AK19" s="114">
        <v>0</v>
      </c>
      <c r="AL19" s="114">
        <v>0</v>
      </c>
      <c r="AM19" s="114">
        <v>0</v>
      </c>
      <c r="AN19" s="114">
        <v>166.763498158695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3">
      <c r="B20" s="113" t="s">
        <v>80</v>
      </c>
      <c r="C20" s="114" t="s">
        <v>79</v>
      </c>
      <c r="D20" s="114" t="s">
        <v>25</v>
      </c>
      <c r="E20" s="114" t="s">
        <v>25</v>
      </c>
      <c r="F20" s="114" t="s">
        <v>81</v>
      </c>
      <c r="G20" s="114" t="s">
        <v>25</v>
      </c>
      <c r="H20" s="114" t="s">
        <v>75</v>
      </c>
      <c r="I20" s="114" t="s">
        <v>25</v>
      </c>
      <c r="J20" s="114">
        <v>7.9399999999999995</v>
      </c>
      <c r="K20" s="114">
        <v>0</v>
      </c>
      <c r="L20" s="114">
        <v>0</v>
      </c>
      <c r="M20" s="114">
        <v>1.1504392740929801E-2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7.9332165518559599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3">
      <c r="B21" s="113" t="s">
        <v>80</v>
      </c>
      <c r="C21" s="114" t="s">
        <v>79</v>
      </c>
      <c r="D21" s="114" t="s">
        <v>25</v>
      </c>
      <c r="E21" s="114" t="s">
        <v>25</v>
      </c>
      <c r="F21" s="114" t="s">
        <v>82</v>
      </c>
      <c r="G21" s="114" t="s">
        <v>25</v>
      </c>
      <c r="H21" s="114" t="s">
        <v>75</v>
      </c>
      <c r="I21" s="114" t="s">
        <v>25</v>
      </c>
      <c r="J21" s="114">
        <v>16.149999999999999</v>
      </c>
      <c r="K21" s="114">
        <v>0</v>
      </c>
      <c r="L21" s="114">
        <v>0</v>
      </c>
      <c r="M21" s="114">
        <v>1.1504392740929801E-2</v>
      </c>
      <c r="N21" s="114">
        <v>0</v>
      </c>
      <c r="O21" s="114">
        <v>0</v>
      </c>
      <c r="P21" s="114">
        <v>0</v>
      </c>
      <c r="Q21" s="114">
        <v>0</v>
      </c>
      <c r="R21" s="114">
        <v>0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  <c r="AA21" s="114">
        <v>16.140383300015699</v>
      </c>
      <c r="AB21" s="114">
        <v>0</v>
      </c>
      <c r="AC21" s="114">
        <v>0</v>
      </c>
      <c r="AD21" s="114">
        <v>0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3">
      <c r="B22" s="113" t="s">
        <v>22</v>
      </c>
      <c r="C22" s="114" t="s">
        <v>33</v>
      </c>
      <c r="D22" s="114" t="s">
        <v>24</v>
      </c>
      <c r="E22" s="114" t="s">
        <v>24</v>
      </c>
      <c r="F22" s="114" t="s">
        <v>25</v>
      </c>
      <c r="G22" s="114" t="s">
        <v>39</v>
      </c>
      <c r="H22" s="114" t="s">
        <v>70</v>
      </c>
      <c r="I22" s="114" t="s">
        <v>25</v>
      </c>
      <c r="J22" s="114">
        <v>1166.01</v>
      </c>
      <c r="K22" s="114">
        <v>166.76</v>
      </c>
      <c r="L22" s="114">
        <v>0</v>
      </c>
      <c r="M22" s="114">
        <v>2.6037935141612598</v>
      </c>
      <c r="N22" s="114">
        <v>0</v>
      </c>
      <c r="O22" s="114">
        <v>0</v>
      </c>
      <c r="P22" s="114">
        <v>0</v>
      </c>
      <c r="Q22" s="114">
        <v>91.797786245761301</v>
      </c>
      <c r="R22" s="114">
        <v>14.499870257332301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343.46536613978998</v>
      </c>
      <c r="Y22" s="114">
        <v>0</v>
      </c>
      <c r="Z22" s="114">
        <v>0</v>
      </c>
      <c r="AA22" s="114">
        <v>683.63719620683401</v>
      </c>
      <c r="AB22" s="114">
        <v>0</v>
      </c>
      <c r="AC22" s="114">
        <v>0</v>
      </c>
      <c r="AD22" s="114">
        <v>0</v>
      </c>
      <c r="AE22" s="114">
        <v>30.008720050329</v>
      </c>
      <c r="AF22" s="114">
        <v>0</v>
      </c>
      <c r="AG22" s="114">
        <v>0</v>
      </c>
      <c r="AH22" s="114">
        <v>0</v>
      </c>
      <c r="AI22" s="114">
        <v>0</v>
      </c>
      <c r="AJ22" s="114">
        <v>0</v>
      </c>
      <c r="AK22" s="114">
        <v>0</v>
      </c>
      <c r="AL22" s="114">
        <v>0</v>
      </c>
      <c r="AM22" s="114">
        <v>0</v>
      </c>
      <c r="AN22" s="114">
        <v>166.763498158695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3">
      <c r="B23" s="113" t="s">
        <v>22</v>
      </c>
      <c r="C23" s="114" t="s">
        <v>33</v>
      </c>
      <c r="D23" s="114" t="s">
        <v>24</v>
      </c>
      <c r="E23" s="114" t="s">
        <v>24</v>
      </c>
      <c r="F23" s="114" t="s">
        <v>25</v>
      </c>
      <c r="G23" s="114" t="s">
        <v>42</v>
      </c>
      <c r="H23" s="114" t="s">
        <v>70</v>
      </c>
      <c r="I23" s="114" t="s">
        <v>25</v>
      </c>
      <c r="J23" s="114">
        <v>755.17</v>
      </c>
      <c r="K23" s="114">
        <v>166.76</v>
      </c>
      <c r="L23" s="114">
        <v>0</v>
      </c>
      <c r="M23" s="114">
        <v>2.6037935141612598</v>
      </c>
      <c r="N23" s="114">
        <v>0</v>
      </c>
      <c r="O23" s="114">
        <v>0</v>
      </c>
      <c r="P23" s="114">
        <v>0</v>
      </c>
      <c r="Q23" s="114">
        <v>91.797786245761301</v>
      </c>
      <c r="R23" s="114">
        <v>14.499870257332301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206.079258707755</v>
      </c>
      <c r="Y23" s="114">
        <v>0</v>
      </c>
      <c r="Z23" s="114">
        <v>0</v>
      </c>
      <c r="AA23" s="114">
        <v>410.18251605128</v>
      </c>
      <c r="AB23" s="114">
        <v>0</v>
      </c>
      <c r="AC23" s="114">
        <v>0</v>
      </c>
      <c r="AD23" s="114">
        <v>0</v>
      </c>
      <c r="AE23" s="114">
        <v>30.008720050329</v>
      </c>
      <c r="AF23" s="114">
        <v>0</v>
      </c>
      <c r="AG23" s="114">
        <v>0</v>
      </c>
      <c r="AH23" s="114">
        <v>0</v>
      </c>
      <c r="AI23" s="114">
        <v>0</v>
      </c>
      <c r="AJ23" s="114">
        <v>0</v>
      </c>
      <c r="AK23" s="114">
        <v>0</v>
      </c>
      <c r="AL23" s="114">
        <v>0</v>
      </c>
      <c r="AM23" s="114">
        <v>0</v>
      </c>
      <c r="AN23" s="114">
        <v>166.763498158695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3">
      <c r="B24" s="113" t="s">
        <v>22</v>
      </c>
      <c r="C24" s="114" t="s">
        <v>33</v>
      </c>
      <c r="D24" s="114" t="s">
        <v>24</v>
      </c>
      <c r="E24" s="114" t="s">
        <v>24</v>
      </c>
      <c r="F24" s="114" t="s">
        <v>25</v>
      </c>
      <c r="G24" s="114" t="s">
        <v>34</v>
      </c>
      <c r="H24" s="114" t="s">
        <v>70</v>
      </c>
      <c r="I24" s="114" t="s">
        <v>25</v>
      </c>
      <c r="J24" s="114">
        <v>344.39</v>
      </c>
      <c r="K24" s="114">
        <v>166.76</v>
      </c>
      <c r="L24" s="114">
        <v>0</v>
      </c>
      <c r="M24" s="114">
        <v>2.6037935141612598</v>
      </c>
      <c r="N24" s="114">
        <v>0</v>
      </c>
      <c r="O24" s="114">
        <v>0</v>
      </c>
      <c r="P24" s="114">
        <v>0</v>
      </c>
      <c r="Q24" s="114">
        <v>91.797786245761301</v>
      </c>
      <c r="R24" s="114">
        <v>14.499870257332301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68.755882163430599</v>
      </c>
      <c r="Y24" s="114">
        <v>0</v>
      </c>
      <c r="Z24" s="114">
        <v>0</v>
      </c>
      <c r="AA24" s="114">
        <v>136.727318520474</v>
      </c>
      <c r="AB24" s="114">
        <v>0</v>
      </c>
      <c r="AC24" s="114">
        <v>0</v>
      </c>
      <c r="AD24" s="114">
        <v>0</v>
      </c>
      <c r="AE24" s="114">
        <v>30.008720050329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166.763498158695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3">
      <c r="B25" s="113" t="s">
        <v>22</v>
      </c>
      <c r="C25" s="114" t="s">
        <v>23</v>
      </c>
      <c r="D25" s="114" t="s">
        <v>24</v>
      </c>
      <c r="E25" s="114" t="s">
        <v>1179</v>
      </c>
      <c r="F25" s="114" t="s">
        <v>25</v>
      </c>
      <c r="G25" s="114" t="s">
        <v>25</v>
      </c>
      <c r="H25" s="114" t="s">
        <v>70</v>
      </c>
      <c r="I25" s="114" t="s">
        <v>25</v>
      </c>
      <c r="J25" s="114">
        <v>412.96</v>
      </c>
      <c r="K25" s="114">
        <v>166.76</v>
      </c>
      <c r="L25" s="114">
        <v>0</v>
      </c>
      <c r="M25" s="114">
        <v>2.6037935141612598</v>
      </c>
      <c r="N25" s="114">
        <v>0</v>
      </c>
      <c r="O25" s="114">
        <v>0</v>
      </c>
      <c r="P25" s="114">
        <v>0</v>
      </c>
      <c r="Q25" s="114">
        <v>0</v>
      </c>
      <c r="R25" s="114">
        <v>0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127.151216764922</v>
      </c>
      <c r="Y25" s="114">
        <v>0</v>
      </c>
      <c r="Z25" s="114">
        <v>0</v>
      </c>
      <c r="AA25" s="114">
        <v>253.19905098096999</v>
      </c>
      <c r="AB25" s="114">
        <v>0</v>
      </c>
      <c r="AC25" s="114">
        <v>0</v>
      </c>
      <c r="AD25" s="114">
        <v>0</v>
      </c>
      <c r="AE25" s="114">
        <v>30.008720050329</v>
      </c>
      <c r="AF25" s="114">
        <v>0</v>
      </c>
      <c r="AG25" s="114">
        <v>0</v>
      </c>
      <c r="AH25" s="114">
        <v>0</v>
      </c>
      <c r="AI25" s="114">
        <v>0</v>
      </c>
      <c r="AJ25" s="114">
        <v>0</v>
      </c>
      <c r="AK25" s="114">
        <v>0</v>
      </c>
      <c r="AL25" s="114">
        <v>0</v>
      </c>
      <c r="AM25" s="114">
        <v>0</v>
      </c>
      <c r="AN25" s="114">
        <v>166.763498158695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3">
      <c r="B26" s="113" t="s">
        <v>22</v>
      </c>
      <c r="C26" s="114" t="s">
        <v>23</v>
      </c>
      <c r="D26" s="114" t="s">
        <v>24</v>
      </c>
      <c r="E26" s="114" t="s">
        <v>24</v>
      </c>
      <c r="F26" s="114" t="s">
        <v>25</v>
      </c>
      <c r="G26" s="114" t="s">
        <v>25</v>
      </c>
      <c r="H26" s="114" t="s">
        <v>70</v>
      </c>
      <c r="I26" s="114" t="s">
        <v>25</v>
      </c>
      <c r="J26" s="114">
        <v>519.26</v>
      </c>
      <c r="K26" s="114">
        <v>166.76</v>
      </c>
      <c r="L26" s="114">
        <v>0</v>
      </c>
      <c r="M26" s="114">
        <v>2.6037935141612598</v>
      </c>
      <c r="N26" s="114">
        <v>0</v>
      </c>
      <c r="O26" s="114">
        <v>0</v>
      </c>
      <c r="P26" s="114">
        <v>0</v>
      </c>
      <c r="Q26" s="114">
        <v>91.797786245761301</v>
      </c>
      <c r="R26" s="114">
        <v>14.499870257332301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127.151216764922</v>
      </c>
      <c r="Y26" s="114">
        <v>0</v>
      </c>
      <c r="Z26" s="114">
        <v>0</v>
      </c>
      <c r="AA26" s="114">
        <v>253.19905098096999</v>
      </c>
      <c r="AB26" s="114">
        <v>0</v>
      </c>
      <c r="AC26" s="114">
        <v>0</v>
      </c>
      <c r="AD26" s="114">
        <v>0</v>
      </c>
      <c r="AE26" s="114">
        <v>30.008720050329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4">
        <v>166.763498158695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3">
      <c r="B27" s="113" t="s">
        <v>22</v>
      </c>
      <c r="C27" s="114" t="s">
        <v>85</v>
      </c>
      <c r="D27" s="114" t="s">
        <v>24</v>
      </c>
      <c r="E27" s="114" t="s">
        <v>1179</v>
      </c>
      <c r="F27" s="114" t="s">
        <v>25</v>
      </c>
      <c r="G27" s="114" t="s">
        <v>25</v>
      </c>
      <c r="H27" s="114" t="s">
        <v>70</v>
      </c>
      <c r="I27" s="114" t="s">
        <v>25</v>
      </c>
      <c r="J27" s="114">
        <v>412.96</v>
      </c>
      <c r="K27" s="114">
        <v>166.76</v>
      </c>
      <c r="L27" s="114">
        <v>0</v>
      </c>
      <c r="M27" s="114">
        <v>2.6037935141612598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127.151216764922</v>
      </c>
      <c r="Y27" s="114">
        <v>0</v>
      </c>
      <c r="Z27" s="114">
        <v>0</v>
      </c>
      <c r="AA27" s="114">
        <v>253.19905098096999</v>
      </c>
      <c r="AB27" s="114">
        <v>0</v>
      </c>
      <c r="AC27" s="114">
        <v>0</v>
      </c>
      <c r="AD27" s="114">
        <v>0</v>
      </c>
      <c r="AE27" s="114">
        <v>30.008720050329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166.763498158695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3">
      <c r="B28" s="113" t="s">
        <v>22</v>
      </c>
      <c r="C28" s="114" t="s">
        <v>85</v>
      </c>
      <c r="D28" s="114" t="s">
        <v>24</v>
      </c>
      <c r="E28" s="114" t="s">
        <v>24</v>
      </c>
      <c r="F28" s="114" t="s">
        <v>25</v>
      </c>
      <c r="G28" s="114" t="s">
        <v>25</v>
      </c>
      <c r="H28" s="114" t="s">
        <v>70</v>
      </c>
      <c r="I28" s="114" t="s">
        <v>25</v>
      </c>
      <c r="J28" s="114">
        <v>519.26</v>
      </c>
      <c r="K28" s="114">
        <v>166.76</v>
      </c>
      <c r="L28" s="114">
        <v>0</v>
      </c>
      <c r="M28" s="114">
        <v>2.6037935141612598</v>
      </c>
      <c r="N28" s="114">
        <v>0</v>
      </c>
      <c r="O28" s="114">
        <v>0</v>
      </c>
      <c r="P28" s="114">
        <v>0</v>
      </c>
      <c r="Q28" s="114">
        <v>91.797786245761301</v>
      </c>
      <c r="R28" s="114">
        <v>14.499870257332301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127.151216764922</v>
      </c>
      <c r="Y28" s="114">
        <v>0</v>
      </c>
      <c r="Z28" s="114">
        <v>0</v>
      </c>
      <c r="AA28" s="114">
        <v>253.19905098096999</v>
      </c>
      <c r="AB28" s="114">
        <v>0</v>
      </c>
      <c r="AC28" s="114">
        <v>0</v>
      </c>
      <c r="AD28" s="114">
        <v>0</v>
      </c>
      <c r="AE28" s="114">
        <v>30.008720050329</v>
      </c>
      <c r="AF28" s="114">
        <v>0</v>
      </c>
      <c r="AG28" s="114">
        <v>0</v>
      </c>
      <c r="AH28" s="114">
        <v>0</v>
      </c>
      <c r="AI28" s="114">
        <v>0</v>
      </c>
      <c r="AJ28" s="114">
        <v>0</v>
      </c>
      <c r="AK28" s="114">
        <v>0</v>
      </c>
      <c r="AL28" s="114">
        <v>0</v>
      </c>
      <c r="AM28" s="114">
        <v>0</v>
      </c>
      <c r="AN28" s="114">
        <v>166.763498158695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3">
      <c r="B29" s="113" t="s">
        <v>43</v>
      </c>
      <c r="C29" s="114" t="s">
        <v>33</v>
      </c>
      <c r="D29" s="114" t="s">
        <v>44</v>
      </c>
      <c r="E29" s="114" t="s">
        <v>86</v>
      </c>
      <c r="F29" s="114" t="s">
        <v>25</v>
      </c>
      <c r="G29" s="114" t="s">
        <v>39</v>
      </c>
      <c r="H29" s="114" t="s">
        <v>70</v>
      </c>
      <c r="I29" s="114" t="s">
        <v>25</v>
      </c>
      <c r="J29" s="114">
        <v>1185.3</v>
      </c>
      <c r="K29" s="114">
        <v>156.76</v>
      </c>
      <c r="L29" s="114">
        <v>0</v>
      </c>
      <c r="M29" s="114">
        <v>2.44756590331159</v>
      </c>
      <c r="N29" s="114">
        <v>0</v>
      </c>
      <c r="O29" s="114">
        <v>0</v>
      </c>
      <c r="P29" s="114">
        <v>0</v>
      </c>
      <c r="Q29" s="114">
        <v>86.289919071015603</v>
      </c>
      <c r="R29" s="114">
        <v>13.6298780418924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352.60516672447102</v>
      </c>
      <c r="Y29" s="114">
        <v>0</v>
      </c>
      <c r="Z29" s="114">
        <v>0</v>
      </c>
      <c r="AA29" s="114">
        <v>702.12084273427195</v>
      </c>
      <c r="AB29" s="114">
        <v>0</v>
      </c>
      <c r="AC29" s="114">
        <v>0</v>
      </c>
      <c r="AD29" s="114">
        <v>0</v>
      </c>
      <c r="AE29" s="114">
        <v>28.2081968473092</v>
      </c>
      <c r="AF29" s="114">
        <v>0</v>
      </c>
      <c r="AG29" s="114">
        <v>0</v>
      </c>
      <c r="AH29" s="114">
        <v>0</v>
      </c>
      <c r="AI29" s="114">
        <v>0</v>
      </c>
      <c r="AJ29" s="114">
        <v>0</v>
      </c>
      <c r="AK29" s="114">
        <v>0</v>
      </c>
      <c r="AL29" s="114">
        <v>0</v>
      </c>
      <c r="AM29" s="114">
        <v>0</v>
      </c>
      <c r="AN29" s="114">
        <v>156.757688269173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3">
      <c r="B30" s="113" t="s">
        <v>43</v>
      </c>
      <c r="C30" s="114" t="s">
        <v>33</v>
      </c>
      <c r="D30" s="114" t="s">
        <v>44</v>
      </c>
      <c r="E30" s="114" t="s">
        <v>86</v>
      </c>
      <c r="F30" s="114" t="s">
        <v>25</v>
      </c>
      <c r="G30" s="114" t="s">
        <v>42</v>
      </c>
      <c r="H30" s="114" t="s">
        <v>70</v>
      </c>
      <c r="I30" s="114" t="s">
        <v>25</v>
      </c>
      <c r="J30" s="114">
        <v>763.39</v>
      </c>
      <c r="K30" s="114">
        <v>156.76</v>
      </c>
      <c r="L30" s="114">
        <v>0</v>
      </c>
      <c r="M30" s="114">
        <v>2.44756590331159</v>
      </c>
      <c r="N30" s="114">
        <v>0</v>
      </c>
      <c r="O30" s="114">
        <v>0</v>
      </c>
      <c r="P30" s="114">
        <v>0</v>
      </c>
      <c r="Q30" s="114">
        <v>86.289919071015603</v>
      </c>
      <c r="R30" s="114">
        <v>13.6298780418924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211.53951322090299</v>
      </c>
      <c r="Y30" s="114">
        <v>0</v>
      </c>
      <c r="Z30" s="114">
        <v>0</v>
      </c>
      <c r="AA30" s="114">
        <v>421.27240026846999</v>
      </c>
      <c r="AB30" s="114">
        <v>0</v>
      </c>
      <c r="AC30" s="114">
        <v>0</v>
      </c>
      <c r="AD30" s="114">
        <v>0</v>
      </c>
      <c r="AE30" s="114">
        <v>28.2081968473092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156.757688269173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3">
      <c r="B31" s="113" t="s">
        <v>43</v>
      </c>
      <c r="C31" s="114" t="s">
        <v>33</v>
      </c>
      <c r="D31" s="114" t="s">
        <v>44</v>
      </c>
      <c r="E31" s="114" t="s">
        <v>86</v>
      </c>
      <c r="F31" s="114" t="s">
        <v>25</v>
      </c>
      <c r="G31" s="114" t="s">
        <v>34</v>
      </c>
      <c r="H31" s="114" t="s">
        <v>70</v>
      </c>
      <c r="I31" s="114" t="s">
        <v>25</v>
      </c>
      <c r="J31" s="114">
        <v>341.47</v>
      </c>
      <c r="K31" s="114">
        <v>156.76</v>
      </c>
      <c r="L31" s="114">
        <v>0</v>
      </c>
      <c r="M31" s="114">
        <v>2.44756590331159</v>
      </c>
      <c r="N31" s="114">
        <v>0</v>
      </c>
      <c r="O31" s="114">
        <v>0</v>
      </c>
      <c r="P31" s="114">
        <v>0</v>
      </c>
      <c r="Q31" s="114">
        <v>86.289919071015603</v>
      </c>
      <c r="R31" s="114">
        <v>13.6298780418924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70.473859717334904</v>
      </c>
      <c r="Y31" s="114">
        <v>0</v>
      </c>
      <c r="Z31" s="114">
        <v>0</v>
      </c>
      <c r="AA31" s="114">
        <v>140.42411991358099</v>
      </c>
      <c r="AB31" s="114">
        <v>0</v>
      </c>
      <c r="AC31" s="114">
        <v>0</v>
      </c>
      <c r="AD31" s="114">
        <v>0</v>
      </c>
      <c r="AE31" s="114">
        <v>28.2081968473092</v>
      </c>
      <c r="AF31" s="114">
        <v>0</v>
      </c>
      <c r="AG31" s="114">
        <v>0</v>
      </c>
      <c r="AH31" s="114">
        <v>0</v>
      </c>
      <c r="AI31" s="114">
        <v>0</v>
      </c>
      <c r="AJ31" s="114">
        <v>0</v>
      </c>
      <c r="AK31" s="114">
        <v>0</v>
      </c>
      <c r="AL31" s="114">
        <v>0</v>
      </c>
      <c r="AM31" s="114">
        <v>0</v>
      </c>
      <c r="AN31" s="114">
        <v>156.757688269173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3">
      <c r="B32" s="113" t="s">
        <v>43</v>
      </c>
      <c r="C32" s="114" t="s">
        <v>33</v>
      </c>
      <c r="D32" s="114" t="s">
        <v>44</v>
      </c>
      <c r="E32" s="114" t="s">
        <v>25</v>
      </c>
      <c r="F32" s="114" t="s">
        <v>25</v>
      </c>
      <c r="G32" s="114" t="s">
        <v>39</v>
      </c>
      <c r="H32" s="114" t="s">
        <v>70</v>
      </c>
      <c r="I32" s="114" t="s">
        <v>25</v>
      </c>
      <c r="J32" s="114">
        <v>1185.3</v>
      </c>
      <c r="K32" s="114">
        <v>156.76</v>
      </c>
      <c r="L32" s="114">
        <v>0</v>
      </c>
      <c r="M32" s="114">
        <v>2.44756590331159</v>
      </c>
      <c r="N32" s="114">
        <v>0</v>
      </c>
      <c r="O32" s="114">
        <v>0</v>
      </c>
      <c r="P32" s="114">
        <v>0</v>
      </c>
      <c r="Q32" s="114">
        <v>86.289919071015603</v>
      </c>
      <c r="R32" s="114">
        <v>13.6298780418924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352.60516672447102</v>
      </c>
      <c r="Y32" s="114">
        <v>0</v>
      </c>
      <c r="Z32" s="114">
        <v>0</v>
      </c>
      <c r="AA32" s="114">
        <v>702.12084273427195</v>
      </c>
      <c r="AB32" s="114">
        <v>0</v>
      </c>
      <c r="AC32" s="114">
        <v>0</v>
      </c>
      <c r="AD32" s="114">
        <v>0</v>
      </c>
      <c r="AE32" s="114">
        <v>28.2081968473092</v>
      </c>
      <c r="AF32" s="114">
        <v>0</v>
      </c>
      <c r="AG32" s="114">
        <v>0</v>
      </c>
      <c r="AH32" s="114">
        <v>0</v>
      </c>
      <c r="AI32" s="114">
        <v>0</v>
      </c>
      <c r="AJ32" s="114">
        <v>0</v>
      </c>
      <c r="AK32" s="114">
        <v>0</v>
      </c>
      <c r="AL32" s="114">
        <v>0</v>
      </c>
      <c r="AM32" s="114">
        <v>0</v>
      </c>
      <c r="AN32" s="114">
        <v>156.757688269173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3">
      <c r="B33" s="113" t="s">
        <v>43</v>
      </c>
      <c r="C33" s="114" t="s">
        <v>33</v>
      </c>
      <c r="D33" s="114" t="s">
        <v>44</v>
      </c>
      <c r="E33" s="114" t="s">
        <v>25</v>
      </c>
      <c r="F33" s="114" t="s">
        <v>25</v>
      </c>
      <c r="G33" s="114" t="s">
        <v>42</v>
      </c>
      <c r="H33" s="114" t="s">
        <v>70</v>
      </c>
      <c r="I33" s="114" t="s">
        <v>25</v>
      </c>
      <c r="J33" s="114">
        <v>763.39</v>
      </c>
      <c r="K33" s="114">
        <v>156.76</v>
      </c>
      <c r="L33" s="114">
        <v>0</v>
      </c>
      <c r="M33" s="114">
        <v>2.44756590331159</v>
      </c>
      <c r="N33" s="114">
        <v>0</v>
      </c>
      <c r="O33" s="114">
        <v>0</v>
      </c>
      <c r="P33" s="114">
        <v>0</v>
      </c>
      <c r="Q33" s="114">
        <v>86.289919071015603</v>
      </c>
      <c r="R33" s="114">
        <v>13.6298780418924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211.53951322090299</v>
      </c>
      <c r="Y33" s="114">
        <v>0</v>
      </c>
      <c r="Z33" s="114">
        <v>0</v>
      </c>
      <c r="AA33" s="114">
        <v>421.27240026846999</v>
      </c>
      <c r="AB33" s="114">
        <v>0</v>
      </c>
      <c r="AC33" s="114">
        <v>0</v>
      </c>
      <c r="AD33" s="114">
        <v>0</v>
      </c>
      <c r="AE33" s="114">
        <v>28.2081968473092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156.757688269173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3">
      <c r="B34" s="113" t="s">
        <v>43</v>
      </c>
      <c r="C34" s="114" t="s">
        <v>33</v>
      </c>
      <c r="D34" s="114" t="s">
        <v>44</v>
      </c>
      <c r="E34" s="114" t="s">
        <v>25</v>
      </c>
      <c r="F34" s="114" t="s">
        <v>25</v>
      </c>
      <c r="G34" s="114" t="s">
        <v>34</v>
      </c>
      <c r="H34" s="114" t="s">
        <v>70</v>
      </c>
      <c r="I34" s="114" t="s">
        <v>25</v>
      </c>
      <c r="J34" s="114">
        <v>341.47</v>
      </c>
      <c r="K34" s="114">
        <v>156.76</v>
      </c>
      <c r="L34" s="114">
        <v>0</v>
      </c>
      <c r="M34" s="114">
        <v>2.44756590331159</v>
      </c>
      <c r="N34" s="114">
        <v>0</v>
      </c>
      <c r="O34" s="114">
        <v>0</v>
      </c>
      <c r="P34" s="114">
        <v>0</v>
      </c>
      <c r="Q34" s="114">
        <v>86.289919071015603</v>
      </c>
      <c r="R34" s="114">
        <v>13.6298780418924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70.473859717334904</v>
      </c>
      <c r="Y34" s="114">
        <v>0</v>
      </c>
      <c r="Z34" s="114">
        <v>0</v>
      </c>
      <c r="AA34" s="114">
        <v>140.42411991358099</v>
      </c>
      <c r="AB34" s="114">
        <v>0</v>
      </c>
      <c r="AC34" s="114">
        <v>0</v>
      </c>
      <c r="AD34" s="114">
        <v>0</v>
      </c>
      <c r="AE34" s="114">
        <v>28.2081968473092</v>
      </c>
      <c r="AF34" s="114">
        <v>0</v>
      </c>
      <c r="AG34" s="114">
        <v>0</v>
      </c>
      <c r="AH34" s="114">
        <v>0</v>
      </c>
      <c r="AI34" s="114">
        <v>0</v>
      </c>
      <c r="AJ34" s="114">
        <v>0</v>
      </c>
      <c r="AK34" s="114">
        <v>0</v>
      </c>
      <c r="AL34" s="114">
        <v>0</v>
      </c>
      <c r="AM34" s="114">
        <v>0</v>
      </c>
      <c r="AN34" s="114">
        <v>156.757688269173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3">
      <c r="B35" s="113" t="s">
        <v>43</v>
      </c>
      <c r="C35" s="114" t="s">
        <v>33</v>
      </c>
      <c r="D35" s="114" t="s">
        <v>44</v>
      </c>
      <c r="E35" s="114" t="s">
        <v>87</v>
      </c>
      <c r="F35" s="114" t="s">
        <v>25</v>
      </c>
      <c r="G35" s="114" t="s">
        <v>39</v>
      </c>
      <c r="H35" s="114" t="s">
        <v>70</v>
      </c>
      <c r="I35" s="114" t="s">
        <v>25</v>
      </c>
      <c r="J35" s="114">
        <v>1160.08</v>
      </c>
      <c r="K35" s="114">
        <v>153.41999999999999</v>
      </c>
      <c r="L35" s="114">
        <v>0</v>
      </c>
      <c r="M35" s="114">
        <v>2.3954900330283602</v>
      </c>
      <c r="N35" s="114">
        <v>0</v>
      </c>
      <c r="O35" s="114">
        <v>0</v>
      </c>
      <c r="P35" s="114">
        <v>0</v>
      </c>
      <c r="Q35" s="114">
        <v>84.453963346100394</v>
      </c>
      <c r="R35" s="114">
        <v>13.339880636745701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345.10292913458801</v>
      </c>
      <c r="Y35" s="114">
        <v>0</v>
      </c>
      <c r="Z35" s="114">
        <v>0</v>
      </c>
      <c r="AA35" s="114">
        <v>687.18210139949997</v>
      </c>
      <c r="AB35" s="114">
        <v>0</v>
      </c>
      <c r="AC35" s="114">
        <v>0</v>
      </c>
      <c r="AD35" s="114">
        <v>0</v>
      </c>
      <c r="AE35" s="114">
        <v>27.608022446302598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153.422418305999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3">
      <c r="B36" s="113" t="s">
        <v>43</v>
      </c>
      <c r="C36" s="114" t="s">
        <v>33</v>
      </c>
      <c r="D36" s="114" t="s">
        <v>44</v>
      </c>
      <c r="E36" s="114" t="s">
        <v>87</v>
      </c>
      <c r="F36" s="114" t="s">
        <v>25</v>
      </c>
      <c r="G36" s="114" t="s">
        <v>42</v>
      </c>
      <c r="H36" s="114" t="s">
        <v>70</v>
      </c>
      <c r="I36" s="114" t="s">
        <v>25</v>
      </c>
      <c r="J36" s="114">
        <v>747.15</v>
      </c>
      <c r="K36" s="114">
        <v>153.41999999999999</v>
      </c>
      <c r="L36" s="114">
        <v>0</v>
      </c>
      <c r="M36" s="114">
        <v>2.3954900330283602</v>
      </c>
      <c r="N36" s="114">
        <v>0</v>
      </c>
      <c r="O36" s="114">
        <v>0</v>
      </c>
      <c r="P36" s="114">
        <v>0</v>
      </c>
      <c r="Q36" s="114">
        <v>84.453963346100394</v>
      </c>
      <c r="R36" s="114">
        <v>13.339880636745701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207.03867251407499</v>
      </c>
      <c r="Y36" s="114">
        <v>0</v>
      </c>
      <c r="Z36" s="114">
        <v>0</v>
      </c>
      <c r="AA36" s="114">
        <v>412.30915770956699</v>
      </c>
      <c r="AB36" s="114">
        <v>0</v>
      </c>
      <c r="AC36" s="114">
        <v>0</v>
      </c>
      <c r="AD36" s="114">
        <v>0</v>
      </c>
      <c r="AE36" s="114">
        <v>27.608022446302598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153.422418305999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3">
      <c r="B37" s="113" t="s">
        <v>43</v>
      </c>
      <c r="C37" s="114" t="s">
        <v>33</v>
      </c>
      <c r="D37" s="114" t="s">
        <v>44</v>
      </c>
      <c r="E37" s="114" t="s">
        <v>87</v>
      </c>
      <c r="F37" s="114" t="s">
        <v>25</v>
      </c>
      <c r="G37" s="114" t="s">
        <v>34</v>
      </c>
      <c r="H37" s="114" t="s">
        <v>70</v>
      </c>
      <c r="I37" s="114" t="s">
        <v>25</v>
      </c>
      <c r="J37" s="114">
        <v>334.21</v>
      </c>
      <c r="K37" s="114">
        <v>153.41999999999999</v>
      </c>
      <c r="L37" s="114">
        <v>0</v>
      </c>
      <c r="M37" s="114">
        <v>2.3954900330283602</v>
      </c>
      <c r="N37" s="114">
        <v>0</v>
      </c>
      <c r="O37" s="114">
        <v>0</v>
      </c>
      <c r="P37" s="114">
        <v>0</v>
      </c>
      <c r="Q37" s="114">
        <v>84.453963346100394</v>
      </c>
      <c r="R37" s="114">
        <v>13.339880636745701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68.974415893561797</v>
      </c>
      <c r="Y37" s="114">
        <v>0</v>
      </c>
      <c r="Z37" s="114">
        <v>0</v>
      </c>
      <c r="AA37" s="114">
        <v>137.43637268137701</v>
      </c>
      <c r="AB37" s="114">
        <v>0</v>
      </c>
      <c r="AC37" s="114">
        <v>0</v>
      </c>
      <c r="AD37" s="114">
        <v>0</v>
      </c>
      <c r="AE37" s="114">
        <v>27.608022446302598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153.422418305999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3">
      <c r="B38" s="113" t="s">
        <v>43</v>
      </c>
      <c r="C38" s="114" t="s">
        <v>23</v>
      </c>
      <c r="D38" s="114" t="s">
        <v>44</v>
      </c>
      <c r="E38" s="114" t="s">
        <v>86</v>
      </c>
      <c r="F38" s="114" t="s">
        <v>25</v>
      </c>
      <c r="G38" s="114" t="s">
        <v>25</v>
      </c>
      <c r="H38" s="114" t="s">
        <v>70</v>
      </c>
      <c r="I38" s="114" t="s">
        <v>25</v>
      </c>
      <c r="J38" s="114">
        <v>488.1</v>
      </c>
      <c r="K38" s="114">
        <v>156.76</v>
      </c>
      <c r="L38" s="114">
        <v>0</v>
      </c>
      <c r="M38" s="114">
        <v>2.44756590331159</v>
      </c>
      <c r="N38" s="114">
        <v>0</v>
      </c>
      <c r="O38" s="114">
        <v>0</v>
      </c>
      <c r="P38" s="114">
        <v>0</v>
      </c>
      <c r="Q38" s="114">
        <v>86.289919071015603</v>
      </c>
      <c r="R38" s="114">
        <v>13.6298780418924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119.52214375902599</v>
      </c>
      <c r="Y38" s="114">
        <v>0</v>
      </c>
      <c r="Z38" s="114">
        <v>0</v>
      </c>
      <c r="AA38" s="114">
        <v>238.007107922112</v>
      </c>
      <c r="AB38" s="114">
        <v>0</v>
      </c>
      <c r="AC38" s="114">
        <v>0</v>
      </c>
      <c r="AD38" s="114">
        <v>0</v>
      </c>
      <c r="AE38" s="114">
        <v>28.2081968473092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156.757688269173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3">
      <c r="B39" s="113" t="s">
        <v>43</v>
      </c>
      <c r="C39" s="114" t="s">
        <v>23</v>
      </c>
      <c r="D39" s="114" t="s">
        <v>44</v>
      </c>
      <c r="E39" s="114" t="s">
        <v>25</v>
      </c>
      <c r="F39" s="114" t="s">
        <v>25</v>
      </c>
      <c r="G39" s="114" t="s">
        <v>25</v>
      </c>
      <c r="H39" s="114" t="s">
        <v>70</v>
      </c>
      <c r="I39" s="114" t="s">
        <v>25</v>
      </c>
      <c r="J39" s="114">
        <v>488.1</v>
      </c>
      <c r="K39" s="114">
        <v>156.76</v>
      </c>
      <c r="L39" s="114">
        <v>0</v>
      </c>
      <c r="M39" s="114">
        <v>2.44756590331159</v>
      </c>
      <c r="N39" s="114">
        <v>0</v>
      </c>
      <c r="O39" s="114">
        <v>0</v>
      </c>
      <c r="P39" s="114">
        <v>0</v>
      </c>
      <c r="Q39" s="114">
        <v>86.289919071015603</v>
      </c>
      <c r="R39" s="114">
        <v>13.6298780418924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119.52214375902599</v>
      </c>
      <c r="Y39" s="114">
        <v>0</v>
      </c>
      <c r="Z39" s="114">
        <v>0</v>
      </c>
      <c r="AA39" s="114">
        <v>238.007107922112</v>
      </c>
      <c r="AB39" s="114">
        <v>0</v>
      </c>
      <c r="AC39" s="114">
        <v>0</v>
      </c>
      <c r="AD39" s="114">
        <v>0</v>
      </c>
      <c r="AE39" s="114">
        <v>28.2081968473092</v>
      </c>
      <c r="AF39" s="114">
        <v>0</v>
      </c>
      <c r="AG39" s="114">
        <v>0</v>
      </c>
      <c r="AH39" s="114">
        <v>0</v>
      </c>
      <c r="AI39" s="114">
        <v>0</v>
      </c>
      <c r="AJ39" s="114">
        <v>0</v>
      </c>
      <c r="AK39" s="114">
        <v>0</v>
      </c>
      <c r="AL39" s="114">
        <v>0</v>
      </c>
      <c r="AM39" s="114">
        <v>0</v>
      </c>
      <c r="AN39" s="114">
        <v>156.757688269173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3">
      <c r="B40" s="113" t="s">
        <v>43</v>
      </c>
      <c r="C40" s="114" t="s">
        <v>23</v>
      </c>
      <c r="D40" s="114" t="s">
        <v>44</v>
      </c>
      <c r="E40" s="114" t="s">
        <v>87</v>
      </c>
      <c r="F40" s="114" t="s">
        <v>25</v>
      </c>
      <c r="G40" s="114" t="s">
        <v>25</v>
      </c>
      <c r="H40" s="114" t="s">
        <v>70</v>
      </c>
      <c r="I40" s="114" t="s">
        <v>25</v>
      </c>
      <c r="J40" s="114">
        <v>477.72</v>
      </c>
      <c r="K40" s="114">
        <v>153.41999999999999</v>
      </c>
      <c r="L40" s="114">
        <v>0</v>
      </c>
      <c r="M40" s="114">
        <v>2.3954900330283602</v>
      </c>
      <c r="N40" s="114">
        <v>0</v>
      </c>
      <c r="O40" s="114">
        <v>0</v>
      </c>
      <c r="P40" s="114">
        <v>0</v>
      </c>
      <c r="Q40" s="114">
        <v>84.453963346100394</v>
      </c>
      <c r="R40" s="114">
        <v>13.339880636745701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116.97911942372799</v>
      </c>
      <c r="Y40" s="114">
        <v>0</v>
      </c>
      <c r="Z40" s="114">
        <v>0</v>
      </c>
      <c r="AA40" s="114">
        <v>232.943126902492</v>
      </c>
      <c r="AB40" s="114">
        <v>0</v>
      </c>
      <c r="AC40" s="114">
        <v>0</v>
      </c>
      <c r="AD40" s="114">
        <v>0</v>
      </c>
      <c r="AE40" s="114">
        <v>27.608022446302598</v>
      </c>
      <c r="AF40" s="114">
        <v>0</v>
      </c>
      <c r="AG40" s="114">
        <v>0</v>
      </c>
      <c r="AH40" s="114">
        <v>0</v>
      </c>
      <c r="AI40" s="114">
        <v>0</v>
      </c>
      <c r="AJ40" s="114">
        <v>0</v>
      </c>
      <c r="AK40" s="114">
        <v>0</v>
      </c>
      <c r="AL40" s="114">
        <v>0</v>
      </c>
      <c r="AM40" s="114">
        <v>0</v>
      </c>
      <c r="AN40" s="114">
        <v>153.422418305999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3">
      <c r="B41" s="113" t="s">
        <v>43</v>
      </c>
      <c r="C41" s="114" t="s">
        <v>85</v>
      </c>
      <c r="D41" s="114" t="s">
        <v>44</v>
      </c>
      <c r="E41" s="114" t="s">
        <v>86</v>
      </c>
      <c r="F41" s="114" t="s">
        <v>25</v>
      </c>
      <c r="G41" s="114" t="s">
        <v>25</v>
      </c>
      <c r="H41" s="114" t="s">
        <v>70</v>
      </c>
      <c r="I41" s="114" t="s">
        <v>25</v>
      </c>
      <c r="J41" s="114">
        <v>488.1</v>
      </c>
      <c r="K41" s="114">
        <v>156.76</v>
      </c>
      <c r="L41" s="114">
        <v>0</v>
      </c>
      <c r="M41" s="114">
        <v>2.44756590331159</v>
      </c>
      <c r="N41" s="114">
        <v>0</v>
      </c>
      <c r="O41" s="114">
        <v>0</v>
      </c>
      <c r="P41" s="114">
        <v>0</v>
      </c>
      <c r="Q41" s="114">
        <v>86.289919071015603</v>
      </c>
      <c r="R41" s="114">
        <v>13.6298780418924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119.52214375902599</v>
      </c>
      <c r="Y41" s="114">
        <v>0</v>
      </c>
      <c r="Z41" s="114">
        <v>0</v>
      </c>
      <c r="AA41" s="114">
        <v>238.007107922112</v>
      </c>
      <c r="AB41" s="114">
        <v>0</v>
      </c>
      <c r="AC41" s="114">
        <v>0</v>
      </c>
      <c r="AD41" s="114">
        <v>0</v>
      </c>
      <c r="AE41" s="114">
        <v>28.2081968473092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156.757688269173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3">
      <c r="B42" s="113" t="s">
        <v>43</v>
      </c>
      <c r="C42" s="114" t="s">
        <v>85</v>
      </c>
      <c r="D42" s="114" t="s">
        <v>44</v>
      </c>
      <c r="E42" s="114" t="s">
        <v>25</v>
      </c>
      <c r="F42" s="114" t="s">
        <v>25</v>
      </c>
      <c r="G42" s="114" t="s">
        <v>25</v>
      </c>
      <c r="H42" s="114" t="s">
        <v>70</v>
      </c>
      <c r="I42" s="114" t="s">
        <v>25</v>
      </c>
      <c r="J42" s="114">
        <v>488.1</v>
      </c>
      <c r="K42" s="114">
        <v>156.76</v>
      </c>
      <c r="L42" s="114">
        <v>0</v>
      </c>
      <c r="M42" s="114">
        <v>2.44756590331159</v>
      </c>
      <c r="N42" s="114">
        <v>0</v>
      </c>
      <c r="O42" s="114">
        <v>0</v>
      </c>
      <c r="P42" s="114">
        <v>0</v>
      </c>
      <c r="Q42" s="114">
        <v>86.289919071015603</v>
      </c>
      <c r="R42" s="114">
        <v>13.6298780418924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119.52214375902599</v>
      </c>
      <c r="Y42" s="114">
        <v>0</v>
      </c>
      <c r="Z42" s="114">
        <v>0</v>
      </c>
      <c r="AA42" s="114">
        <v>238.007107922112</v>
      </c>
      <c r="AB42" s="114">
        <v>0</v>
      </c>
      <c r="AC42" s="114">
        <v>0</v>
      </c>
      <c r="AD42" s="114">
        <v>0</v>
      </c>
      <c r="AE42" s="114">
        <v>28.2081968473092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156.757688269173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3">
      <c r="B43" s="113" t="s">
        <v>43</v>
      </c>
      <c r="C43" s="114" t="s">
        <v>85</v>
      </c>
      <c r="D43" s="114" t="s">
        <v>44</v>
      </c>
      <c r="E43" s="114" t="s">
        <v>87</v>
      </c>
      <c r="F43" s="114" t="s">
        <v>25</v>
      </c>
      <c r="G43" s="114" t="s">
        <v>25</v>
      </c>
      <c r="H43" s="114" t="s">
        <v>70</v>
      </c>
      <c r="I43" s="114" t="s">
        <v>25</v>
      </c>
      <c r="J43" s="114">
        <v>477.72</v>
      </c>
      <c r="K43" s="114">
        <v>153.41999999999999</v>
      </c>
      <c r="L43" s="114">
        <v>0</v>
      </c>
      <c r="M43" s="114">
        <v>2.3954900330283602</v>
      </c>
      <c r="N43" s="114">
        <v>0</v>
      </c>
      <c r="O43" s="114">
        <v>0</v>
      </c>
      <c r="P43" s="114">
        <v>0</v>
      </c>
      <c r="Q43" s="114">
        <v>84.453963346100394</v>
      </c>
      <c r="R43" s="114">
        <v>13.339880636745701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116.97911942372799</v>
      </c>
      <c r="Y43" s="114">
        <v>0</v>
      </c>
      <c r="Z43" s="114">
        <v>0</v>
      </c>
      <c r="AA43" s="114">
        <v>232.943126902492</v>
      </c>
      <c r="AB43" s="114">
        <v>0</v>
      </c>
      <c r="AC43" s="114">
        <v>0</v>
      </c>
      <c r="AD43" s="114">
        <v>0</v>
      </c>
      <c r="AE43" s="114">
        <v>27.608022446302598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153.422418305999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3">
      <c r="B44" s="113" t="s">
        <v>35</v>
      </c>
      <c r="C44" s="114" t="s">
        <v>33</v>
      </c>
      <c r="D44" s="114" t="s">
        <v>25</v>
      </c>
      <c r="E44" s="114" t="s">
        <v>25</v>
      </c>
      <c r="F44" s="114" t="s">
        <v>25</v>
      </c>
      <c r="G44" s="114" t="s">
        <v>39</v>
      </c>
      <c r="H44" s="114" t="s">
        <v>70</v>
      </c>
      <c r="I44" s="114" t="s">
        <v>25</v>
      </c>
      <c r="J44" s="114">
        <v>1451.23</v>
      </c>
      <c r="K44" s="114">
        <v>166.76</v>
      </c>
      <c r="L44" s="114">
        <v>0</v>
      </c>
      <c r="M44" s="114">
        <v>2.6037935141612598</v>
      </c>
      <c r="N44" s="114">
        <v>0</v>
      </c>
      <c r="O44" s="114">
        <v>0</v>
      </c>
      <c r="P44" s="114">
        <v>0</v>
      </c>
      <c r="Q44" s="114">
        <v>91.797786245761301</v>
      </c>
      <c r="R44" s="114">
        <v>14.499870257332301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438.78168176784698</v>
      </c>
      <c r="Y44" s="114">
        <v>0</v>
      </c>
      <c r="Z44" s="114">
        <v>0</v>
      </c>
      <c r="AA44" s="114">
        <v>873.53633354144597</v>
      </c>
      <c r="AB44" s="114">
        <v>0</v>
      </c>
      <c r="AC44" s="114">
        <v>0</v>
      </c>
      <c r="AD44" s="114">
        <v>0</v>
      </c>
      <c r="AE44" s="114">
        <v>30.008720050329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166.763498158695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3">
      <c r="B45" s="113" t="s">
        <v>35</v>
      </c>
      <c r="C45" s="114" t="s">
        <v>33</v>
      </c>
      <c r="D45" s="114" t="s">
        <v>25</v>
      </c>
      <c r="E45" s="114" t="s">
        <v>25</v>
      </c>
      <c r="F45" s="114" t="s">
        <v>25</v>
      </c>
      <c r="G45" s="114" t="s">
        <v>42</v>
      </c>
      <c r="H45" s="114" t="s">
        <v>70</v>
      </c>
      <c r="I45" s="114" t="s">
        <v>25</v>
      </c>
      <c r="J45" s="114">
        <v>926.25</v>
      </c>
      <c r="K45" s="114">
        <v>166.76</v>
      </c>
      <c r="L45" s="114">
        <v>0</v>
      </c>
      <c r="M45" s="114">
        <v>2.6037935141612598</v>
      </c>
      <c r="N45" s="114">
        <v>0</v>
      </c>
      <c r="O45" s="114">
        <v>0</v>
      </c>
      <c r="P45" s="114">
        <v>0</v>
      </c>
      <c r="Q45" s="114">
        <v>91.797786245761301</v>
      </c>
      <c r="R45" s="114">
        <v>14.499870257332301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263.218804838599</v>
      </c>
      <c r="Y45" s="114">
        <v>0</v>
      </c>
      <c r="Z45" s="114">
        <v>0</v>
      </c>
      <c r="AA45" s="114">
        <v>524.12173976442102</v>
      </c>
      <c r="AB45" s="114">
        <v>0</v>
      </c>
      <c r="AC45" s="114">
        <v>0</v>
      </c>
      <c r="AD45" s="114">
        <v>0</v>
      </c>
      <c r="AE45" s="114">
        <v>30.008720050329</v>
      </c>
      <c r="AF45" s="114">
        <v>0</v>
      </c>
      <c r="AG45" s="114">
        <v>0</v>
      </c>
      <c r="AH45" s="114">
        <v>0</v>
      </c>
      <c r="AI45" s="114">
        <v>0</v>
      </c>
      <c r="AJ45" s="114">
        <v>0</v>
      </c>
      <c r="AK45" s="114">
        <v>0</v>
      </c>
      <c r="AL45" s="114">
        <v>0</v>
      </c>
      <c r="AM45" s="114">
        <v>0</v>
      </c>
      <c r="AN45" s="114">
        <v>166.763498158695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3">
      <c r="B46" s="113" t="s">
        <v>35</v>
      </c>
      <c r="C46" s="114" t="s">
        <v>33</v>
      </c>
      <c r="D46" s="114" t="s">
        <v>25</v>
      </c>
      <c r="E46" s="114" t="s">
        <v>25</v>
      </c>
      <c r="F46" s="114" t="s">
        <v>25</v>
      </c>
      <c r="G46" s="114" t="s">
        <v>34</v>
      </c>
      <c r="H46" s="114" t="s">
        <v>70</v>
      </c>
      <c r="I46" s="114" t="s">
        <v>25</v>
      </c>
      <c r="J46" s="114">
        <v>401.34</v>
      </c>
      <c r="K46" s="114">
        <v>166.76</v>
      </c>
      <c r="L46" s="114">
        <v>0</v>
      </c>
      <c r="M46" s="114">
        <v>2.6037935141612598</v>
      </c>
      <c r="N46" s="114">
        <v>0</v>
      </c>
      <c r="O46" s="114">
        <v>0</v>
      </c>
      <c r="P46" s="114">
        <v>0</v>
      </c>
      <c r="Q46" s="114">
        <v>91.797786245761301</v>
      </c>
      <c r="R46" s="114">
        <v>14.499870257332301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87.718658797062005</v>
      </c>
      <c r="Y46" s="114">
        <v>0</v>
      </c>
      <c r="Z46" s="114">
        <v>0</v>
      </c>
      <c r="AA46" s="114">
        <v>174.70744778962799</v>
      </c>
      <c r="AB46" s="114">
        <v>0</v>
      </c>
      <c r="AC46" s="114">
        <v>0</v>
      </c>
      <c r="AD46" s="114">
        <v>0</v>
      </c>
      <c r="AE46" s="114">
        <v>30.008720050329</v>
      </c>
      <c r="AF46" s="114">
        <v>0</v>
      </c>
      <c r="AG46" s="114">
        <v>0</v>
      </c>
      <c r="AH46" s="114">
        <v>0</v>
      </c>
      <c r="AI46" s="114">
        <v>0</v>
      </c>
      <c r="AJ46" s="114">
        <v>0</v>
      </c>
      <c r="AK46" s="114">
        <v>0</v>
      </c>
      <c r="AL46" s="114">
        <v>0</v>
      </c>
      <c r="AM46" s="114">
        <v>0</v>
      </c>
      <c r="AN46" s="114">
        <v>166.763498158695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3">
      <c r="B47" s="113" t="s">
        <v>35</v>
      </c>
      <c r="C47" s="114" t="s">
        <v>23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70</v>
      </c>
      <c r="I47" s="114" t="s">
        <v>25</v>
      </c>
      <c r="J47" s="114">
        <v>519.26</v>
      </c>
      <c r="K47" s="114">
        <v>166.76</v>
      </c>
      <c r="L47" s="114">
        <v>0</v>
      </c>
      <c r="M47" s="114">
        <v>2.6037935141612598</v>
      </c>
      <c r="N47" s="114">
        <v>0</v>
      </c>
      <c r="O47" s="114">
        <v>0</v>
      </c>
      <c r="P47" s="114">
        <v>0</v>
      </c>
      <c r="Q47" s="114">
        <v>91.797786245761301</v>
      </c>
      <c r="R47" s="114">
        <v>14.499870257332301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127.151216764922</v>
      </c>
      <c r="Y47" s="114">
        <v>0</v>
      </c>
      <c r="Z47" s="114">
        <v>0</v>
      </c>
      <c r="AA47" s="114">
        <v>253.19905098096999</v>
      </c>
      <c r="AB47" s="114">
        <v>0</v>
      </c>
      <c r="AC47" s="114">
        <v>0</v>
      </c>
      <c r="AD47" s="114">
        <v>0</v>
      </c>
      <c r="AE47" s="114">
        <v>30.008720050329</v>
      </c>
      <c r="AF47" s="114">
        <v>0</v>
      </c>
      <c r="AG47" s="114">
        <v>0</v>
      </c>
      <c r="AH47" s="114">
        <v>0</v>
      </c>
      <c r="AI47" s="114">
        <v>0</v>
      </c>
      <c r="AJ47" s="114">
        <v>0</v>
      </c>
      <c r="AK47" s="114">
        <v>0</v>
      </c>
      <c r="AL47" s="114">
        <v>0</v>
      </c>
      <c r="AM47" s="114">
        <v>0</v>
      </c>
      <c r="AN47" s="114">
        <v>166.763498158695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3">
      <c r="B48" s="113" t="s">
        <v>35</v>
      </c>
      <c r="C48" s="114" t="s">
        <v>85</v>
      </c>
      <c r="D48" s="114" t="s">
        <v>25</v>
      </c>
      <c r="E48" s="114" t="s">
        <v>25</v>
      </c>
      <c r="F48" s="114" t="s">
        <v>25</v>
      </c>
      <c r="G48" s="114" t="s">
        <v>25</v>
      </c>
      <c r="H48" s="114" t="s">
        <v>70</v>
      </c>
      <c r="I48" s="114" t="s">
        <v>25</v>
      </c>
      <c r="J48" s="114">
        <v>519.26</v>
      </c>
      <c r="K48" s="114">
        <v>166.76</v>
      </c>
      <c r="L48" s="114">
        <v>0</v>
      </c>
      <c r="M48" s="114">
        <v>2.6037935141612598</v>
      </c>
      <c r="N48" s="114">
        <v>0</v>
      </c>
      <c r="O48" s="114">
        <v>0</v>
      </c>
      <c r="P48" s="114">
        <v>0</v>
      </c>
      <c r="Q48" s="114">
        <v>91.797786245761301</v>
      </c>
      <c r="R48" s="114">
        <v>14.499870257332301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127.151216764922</v>
      </c>
      <c r="Y48" s="114">
        <v>0</v>
      </c>
      <c r="Z48" s="114">
        <v>0</v>
      </c>
      <c r="AA48" s="114">
        <v>253.19905098096999</v>
      </c>
      <c r="AB48" s="114">
        <v>0</v>
      </c>
      <c r="AC48" s="114">
        <v>0</v>
      </c>
      <c r="AD48" s="114">
        <v>0</v>
      </c>
      <c r="AE48" s="114">
        <v>30.008720050329</v>
      </c>
      <c r="AF48" s="114">
        <v>0</v>
      </c>
      <c r="AG48" s="114">
        <v>0</v>
      </c>
      <c r="AH48" s="114">
        <v>0</v>
      </c>
      <c r="AI48" s="114">
        <v>0</v>
      </c>
      <c r="AJ48" s="114">
        <v>0</v>
      </c>
      <c r="AK48" s="114">
        <v>0</v>
      </c>
      <c r="AL48" s="114">
        <v>0</v>
      </c>
      <c r="AM48" s="114">
        <v>0</v>
      </c>
      <c r="AN48" s="114">
        <v>166.763498158695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3">
      <c r="B49" s="113" t="s">
        <v>46</v>
      </c>
      <c r="C49" s="114" t="s">
        <v>23</v>
      </c>
      <c r="D49" s="114" t="s">
        <v>47</v>
      </c>
      <c r="E49" s="114" t="s">
        <v>48</v>
      </c>
      <c r="F49" s="114" t="s">
        <v>25</v>
      </c>
      <c r="G49" s="114" t="s">
        <v>25</v>
      </c>
      <c r="H49" s="114" t="s">
        <v>70</v>
      </c>
      <c r="I49" s="114" t="s">
        <v>25</v>
      </c>
      <c r="J49" s="114">
        <v>285.58999999999997</v>
      </c>
      <c r="K49" s="114">
        <v>91.72</v>
      </c>
      <c r="L49" s="114">
        <v>0</v>
      </c>
      <c r="M49" s="114">
        <v>1.4320864327887</v>
      </c>
      <c r="N49" s="114">
        <v>0</v>
      </c>
      <c r="O49" s="114">
        <v>0</v>
      </c>
      <c r="P49" s="114">
        <v>0</v>
      </c>
      <c r="Q49" s="114">
        <v>50.488782435168702</v>
      </c>
      <c r="R49" s="114">
        <v>7.97492864153278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69.933169220706901</v>
      </c>
      <c r="Y49" s="114">
        <v>0</v>
      </c>
      <c r="Z49" s="114">
        <v>0</v>
      </c>
      <c r="AA49" s="114">
        <v>139.25947803953301</v>
      </c>
      <c r="AB49" s="114">
        <v>0</v>
      </c>
      <c r="AC49" s="114">
        <v>0</v>
      </c>
      <c r="AD49" s="114">
        <v>0</v>
      </c>
      <c r="AE49" s="114">
        <v>16.5047960276809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91.719923987282002</v>
      </c>
      <c r="AO49" s="114">
        <v>0</v>
      </c>
      <c r="AP49" s="114">
        <v>0</v>
      </c>
      <c r="AQ49" s="114">
        <v>0</v>
      </c>
      <c r="AR49" s="114">
        <v>0</v>
      </c>
      <c r="AS49" s="114">
        <v>0</v>
      </c>
      <c r="AT49" s="115">
        <v>0</v>
      </c>
    </row>
    <row r="50" spans="2:46" ht="12" customHeight="1" x14ac:dyDescent="0.3">
      <c r="B50" s="116" t="s">
        <v>46</v>
      </c>
      <c r="C50" s="117" t="s">
        <v>23</v>
      </c>
      <c r="D50" s="117" t="s">
        <v>47</v>
      </c>
      <c r="E50" s="117" t="s">
        <v>49</v>
      </c>
      <c r="F50" s="117" t="s">
        <v>25</v>
      </c>
      <c r="G50" s="117" t="s">
        <v>25</v>
      </c>
      <c r="H50" s="117" t="s">
        <v>70</v>
      </c>
      <c r="I50" s="117" t="s">
        <v>25</v>
      </c>
      <c r="J50" s="117">
        <v>311.56</v>
      </c>
      <c r="K50" s="117">
        <v>100.06</v>
      </c>
      <c r="L50" s="117">
        <v>0</v>
      </c>
      <c r="M50" s="117">
        <v>1.56227610849676</v>
      </c>
      <c r="N50" s="117">
        <v>0</v>
      </c>
      <c r="O50" s="117">
        <v>0</v>
      </c>
      <c r="P50" s="117">
        <v>0</v>
      </c>
      <c r="Q50" s="117">
        <v>55.078671747456802</v>
      </c>
      <c r="R50" s="117">
        <v>8.6999221543994008</v>
      </c>
      <c r="S50" s="117">
        <v>0</v>
      </c>
      <c r="T50" s="117">
        <v>0</v>
      </c>
      <c r="U50" s="117">
        <v>0</v>
      </c>
      <c r="V50" s="117">
        <v>0</v>
      </c>
      <c r="W50" s="117">
        <v>0</v>
      </c>
      <c r="X50" s="117">
        <v>76.290730058953002</v>
      </c>
      <c r="Y50" s="117">
        <v>0</v>
      </c>
      <c r="Z50" s="117">
        <v>0</v>
      </c>
      <c r="AA50" s="117">
        <v>151.919430588582</v>
      </c>
      <c r="AB50" s="117">
        <v>0</v>
      </c>
      <c r="AC50" s="117">
        <v>0</v>
      </c>
      <c r="AD50" s="117">
        <v>0</v>
      </c>
      <c r="AE50" s="117">
        <v>18.005232030197401</v>
      </c>
      <c r="AF50" s="117">
        <v>0</v>
      </c>
      <c r="AG50" s="117">
        <v>0</v>
      </c>
      <c r="AH50" s="117">
        <v>0</v>
      </c>
      <c r="AI50" s="117">
        <v>0</v>
      </c>
      <c r="AJ50" s="117">
        <v>0</v>
      </c>
      <c r="AK50" s="117">
        <v>0</v>
      </c>
      <c r="AL50" s="117">
        <v>0</v>
      </c>
      <c r="AM50" s="117">
        <v>0</v>
      </c>
      <c r="AN50" s="117">
        <v>100.058098895217</v>
      </c>
      <c r="AO50" s="117">
        <v>0</v>
      </c>
      <c r="AP50" s="117">
        <v>0</v>
      </c>
      <c r="AQ50" s="117">
        <v>0</v>
      </c>
      <c r="AR50" s="117">
        <v>0</v>
      </c>
      <c r="AS50" s="117">
        <v>0</v>
      </c>
      <c r="AT50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1461-D372-4EF3-81DB-225D869A48E6}">
  <dimension ref="B1:AT50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9" t="s">
        <v>1181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3">
      <c r="L2" s="120" t="s">
        <v>500</v>
      </c>
      <c r="M2" s="120"/>
      <c r="N2" s="120"/>
      <c r="O2" s="120"/>
      <c r="P2" s="120"/>
      <c r="Q2" s="120"/>
      <c r="R2" s="120"/>
      <c r="S2" s="121"/>
      <c r="T2" s="120" t="s">
        <v>509</v>
      </c>
      <c r="U2" s="120"/>
      <c r="V2" s="120"/>
      <c r="W2" s="120"/>
      <c r="X2" s="120"/>
      <c r="Y2" s="120"/>
      <c r="Z2" s="121"/>
      <c r="AA2" s="122" t="s">
        <v>517</v>
      </c>
      <c r="AB2" s="120" t="s">
        <v>25</v>
      </c>
      <c r="AC2" s="120"/>
      <c r="AD2" s="121"/>
      <c r="AE2" s="120" t="s">
        <v>1180</v>
      </c>
      <c r="AF2" s="120"/>
      <c r="AG2" s="120"/>
      <c r="AH2" s="121"/>
      <c r="AI2" s="120" t="s">
        <v>500</v>
      </c>
      <c r="AJ2" s="120"/>
      <c r="AK2" s="120"/>
      <c r="AL2" s="120"/>
      <c r="AM2" s="121"/>
      <c r="AN2" s="122" t="s">
        <v>531</v>
      </c>
      <c r="AO2" s="120" t="s">
        <v>509</v>
      </c>
      <c r="AP2" s="120"/>
      <c r="AQ2" s="120"/>
      <c r="AR2" s="120"/>
      <c r="AS2" s="121"/>
      <c r="AT2" s="123" t="s">
        <v>1180</v>
      </c>
    </row>
    <row r="3" spans="2:46" ht="12" customHeight="1" x14ac:dyDescent="0.3">
      <c r="B3" s="110" t="s">
        <v>60</v>
      </c>
      <c r="C3" s="111" t="s">
        <v>61</v>
      </c>
      <c r="D3" s="111" t="s">
        <v>62</v>
      </c>
      <c r="E3" s="111" t="s">
        <v>63</v>
      </c>
      <c r="F3" s="111" t="s">
        <v>64</v>
      </c>
      <c r="G3" s="111" t="s">
        <v>66</v>
      </c>
      <c r="H3" s="111" t="s">
        <v>67</v>
      </c>
      <c r="I3" s="111" t="s">
        <v>777</v>
      </c>
      <c r="J3" s="111" t="s">
        <v>1142</v>
      </c>
      <c r="K3" s="111" t="s">
        <v>1143</v>
      </c>
      <c r="L3" s="111" t="s">
        <v>1144</v>
      </c>
      <c r="M3" s="111" t="s">
        <v>1145</v>
      </c>
      <c r="N3" s="111" t="s">
        <v>1146</v>
      </c>
      <c r="O3" s="111" t="s">
        <v>1147</v>
      </c>
      <c r="P3" s="111" t="s">
        <v>1148</v>
      </c>
      <c r="Q3" s="111" t="s">
        <v>1149</v>
      </c>
      <c r="R3" s="111" t="s">
        <v>1150</v>
      </c>
      <c r="S3" s="111" t="s">
        <v>1151</v>
      </c>
      <c r="T3" s="111" t="s">
        <v>1152</v>
      </c>
      <c r="U3" s="111" t="s">
        <v>1153</v>
      </c>
      <c r="V3" s="111" t="s">
        <v>1154</v>
      </c>
      <c r="W3" s="111" t="s">
        <v>1155</v>
      </c>
      <c r="X3" s="111" t="s">
        <v>1156</v>
      </c>
      <c r="Y3" s="111" t="s">
        <v>1157</v>
      </c>
      <c r="Z3" s="111" t="s">
        <v>1158</v>
      </c>
      <c r="AA3" s="111" t="s">
        <v>1159</v>
      </c>
      <c r="AB3" s="111" t="s">
        <v>1160</v>
      </c>
      <c r="AC3" s="111" t="s">
        <v>1161</v>
      </c>
      <c r="AD3" s="111" t="s">
        <v>1162</v>
      </c>
      <c r="AE3" s="111" t="s">
        <v>1163</v>
      </c>
      <c r="AF3" s="111" t="s">
        <v>1164</v>
      </c>
      <c r="AG3" s="111" t="s">
        <v>1165</v>
      </c>
      <c r="AH3" s="111" t="s">
        <v>1166</v>
      </c>
      <c r="AI3" s="111" t="s">
        <v>1167</v>
      </c>
      <c r="AJ3" s="111" t="s">
        <v>1168</v>
      </c>
      <c r="AK3" s="111" t="s">
        <v>1169</v>
      </c>
      <c r="AL3" s="111" t="s">
        <v>1170</v>
      </c>
      <c r="AM3" s="111" t="s">
        <v>1171</v>
      </c>
      <c r="AN3" s="111" t="s">
        <v>1172</v>
      </c>
      <c r="AO3" s="111" t="s">
        <v>1173</v>
      </c>
      <c r="AP3" s="111" t="s">
        <v>1174</v>
      </c>
      <c r="AQ3" s="111" t="s">
        <v>1175</v>
      </c>
      <c r="AR3" s="111" t="s">
        <v>1176</v>
      </c>
      <c r="AS3" s="111" t="s">
        <v>1177</v>
      </c>
      <c r="AT3" s="112" t="s">
        <v>1178</v>
      </c>
    </row>
    <row r="4" spans="2:46" ht="12" customHeight="1" x14ac:dyDescent="0.3">
      <c r="B4" s="113" t="s">
        <v>37</v>
      </c>
      <c r="C4" s="114" t="s">
        <v>41</v>
      </c>
      <c r="D4" s="114" t="s">
        <v>25</v>
      </c>
      <c r="E4" s="114" t="s">
        <v>25</v>
      </c>
      <c r="F4" s="114" t="s">
        <v>78</v>
      </c>
      <c r="G4" s="114" t="s">
        <v>39</v>
      </c>
      <c r="H4" s="114" t="s">
        <v>70</v>
      </c>
      <c r="I4" s="114" t="s">
        <v>25</v>
      </c>
      <c r="J4" s="114">
        <v>12.92</v>
      </c>
      <c r="K4" s="114">
        <v>0</v>
      </c>
      <c r="L4" s="114">
        <v>0</v>
      </c>
      <c r="M4" s="114">
        <v>1.1499943628742799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11.7734207552621</v>
      </c>
      <c r="AF4" s="114">
        <v>0</v>
      </c>
      <c r="AG4" s="114">
        <v>0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3">
      <c r="B5" s="113" t="s">
        <v>37</v>
      </c>
      <c r="C5" s="114" t="s">
        <v>41</v>
      </c>
      <c r="D5" s="114" t="s">
        <v>25</v>
      </c>
      <c r="E5" s="114" t="s">
        <v>25</v>
      </c>
      <c r="F5" s="114" t="s">
        <v>78</v>
      </c>
      <c r="G5" s="114" t="s">
        <v>39</v>
      </c>
      <c r="H5" s="114" t="s">
        <v>75</v>
      </c>
      <c r="I5" s="114" t="s">
        <v>25</v>
      </c>
      <c r="J5" s="114">
        <v>203.98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47.425249523172099</v>
      </c>
      <c r="Y5" s="114">
        <v>0</v>
      </c>
      <c r="Z5" s="114">
        <v>0</v>
      </c>
      <c r="AA5" s="114">
        <v>156.55041289441999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3">
      <c r="B6" s="113" t="s">
        <v>37</v>
      </c>
      <c r="C6" s="114" t="s">
        <v>41</v>
      </c>
      <c r="D6" s="114" t="s">
        <v>25</v>
      </c>
      <c r="E6" s="114" t="s">
        <v>25</v>
      </c>
      <c r="F6" s="114" t="s">
        <v>78</v>
      </c>
      <c r="G6" s="114" t="s">
        <v>34</v>
      </c>
      <c r="H6" s="114" t="s">
        <v>70</v>
      </c>
      <c r="I6" s="114" t="s">
        <v>25</v>
      </c>
      <c r="J6" s="114">
        <v>12.92</v>
      </c>
      <c r="K6" s="114">
        <v>0</v>
      </c>
      <c r="L6" s="114">
        <v>0</v>
      </c>
      <c r="M6" s="114">
        <v>1.1499943628742799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11.7734207552621</v>
      </c>
      <c r="AF6" s="114">
        <v>0</v>
      </c>
      <c r="AG6" s="114">
        <v>0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3">
      <c r="B7" s="113" t="s">
        <v>37</v>
      </c>
      <c r="C7" s="114" t="s">
        <v>41</v>
      </c>
      <c r="D7" s="114" t="s">
        <v>25</v>
      </c>
      <c r="E7" s="114" t="s">
        <v>25</v>
      </c>
      <c r="F7" s="114" t="s">
        <v>78</v>
      </c>
      <c r="G7" s="114" t="s">
        <v>34</v>
      </c>
      <c r="H7" s="114" t="s">
        <v>75</v>
      </c>
      <c r="I7" s="114" t="s">
        <v>25</v>
      </c>
      <c r="J7" s="114">
        <v>62.91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19.1686602033604</v>
      </c>
      <c r="Y7" s="114">
        <v>0</v>
      </c>
      <c r="Z7" s="114">
        <v>0</v>
      </c>
      <c r="AA7" s="114">
        <v>43.745436985175999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3">
      <c r="B8" s="113" t="s">
        <v>37</v>
      </c>
      <c r="C8" s="114" t="s">
        <v>41</v>
      </c>
      <c r="D8" s="114" t="s">
        <v>25</v>
      </c>
      <c r="E8" s="114" t="s">
        <v>25</v>
      </c>
      <c r="F8" s="114" t="s">
        <v>25</v>
      </c>
      <c r="G8" s="114" t="s">
        <v>39</v>
      </c>
      <c r="H8" s="114" t="s">
        <v>70</v>
      </c>
      <c r="I8" s="114" t="s">
        <v>25</v>
      </c>
      <c r="J8" s="114">
        <v>105.34</v>
      </c>
      <c r="K8" s="114">
        <v>169.46</v>
      </c>
      <c r="L8" s="114">
        <v>0</v>
      </c>
      <c r="M8" s="114">
        <v>1.1499943628742799</v>
      </c>
      <c r="N8" s="114">
        <v>0</v>
      </c>
      <c r="O8" s="114">
        <v>0</v>
      </c>
      <c r="P8" s="114">
        <v>0</v>
      </c>
      <c r="Q8" s="114">
        <v>77.791066518318502</v>
      </c>
      <c r="R8" s="114">
        <v>14.6300481806247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11.7734207552621</v>
      </c>
      <c r="AF8" s="114">
        <v>0</v>
      </c>
      <c r="AG8" s="114">
        <v>0</v>
      </c>
      <c r="AH8" s="114">
        <v>0</v>
      </c>
      <c r="AI8" s="114">
        <v>0</v>
      </c>
      <c r="AJ8" s="114">
        <v>0</v>
      </c>
      <c r="AK8" s="114">
        <v>0</v>
      </c>
      <c r="AL8" s="114">
        <v>0</v>
      </c>
      <c r="AM8" s="114">
        <v>0</v>
      </c>
      <c r="AN8" s="114">
        <v>169.459146152042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3">
      <c r="B9" s="113" t="s">
        <v>37</v>
      </c>
      <c r="C9" s="114" t="s">
        <v>41</v>
      </c>
      <c r="D9" s="114" t="s">
        <v>25</v>
      </c>
      <c r="E9" s="114" t="s">
        <v>25</v>
      </c>
      <c r="F9" s="114" t="s">
        <v>25</v>
      </c>
      <c r="G9" s="114" t="s">
        <v>39</v>
      </c>
      <c r="H9" s="114" t="s">
        <v>75</v>
      </c>
      <c r="I9" s="114" t="s">
        <v>25</v>
      </c>
      <c r="J9" s="114">
        <v>203.98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47.425249523172099</v>
      </c>
      <c r="Y9" s="114">
        <v>0</v>
      </c>
      <c r="Z9" s="114">
        <v>0</v>
      </c>
      <c r="AA9" s="114">
        <v>156.55041289441999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3">
      <c r="B10" s="113" t="s">
        <v>37</v>
      </c>
      <c r="C10" s="114" t="s">
        <v>41</v>
      </c>
      <c r="D10" s="114" t="s">
        <v>25</v>
      </c>
      <c r="E10" s="114" t="s">
        <v>25</v>
      </c>
      <c r="F10" s="114" t="s">
        <v>25</v>
      </c>
      <c r="G10" s="114" t="s">
        <v>34</v>
      </c>
      <c r="H10" s="114" t="s">
        <v>70</v>
      </c>
      <c r="I10" s="114" t="s">
        <v>25</v>
      </c>
      <c r="J10" s="114">
        <v>105.34</v>
      </c>
      <c r="K10" s="114">
        <v>169.46</v>
      </c>
      <c r="L10" s="114">
        <v>0</v>
      </c>
      <c r="M10" s="114">
        <v>1.1499943628742799</v>
      </c>
      <c r="N10" s="114">
        <v>0</v>
      </c>
      <c r="O10" s="114">
        <v>0</v>
      </c>
      <c r="P10" s="114">
        <v>0</v>
      </c>
      <c r="Q10" s="114">
        <v>77.791066518318502</v>
      </c>
      <c r="R10" s="114">
        <v>14.6300481806247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11.7734207552621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169.459146152042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3">
      <c r="B11" s="113" t="s">
        <v>37</v>
      </c>
      <c r="C11" s="114" t="s">
        <v>41</v>
      </c>
      <c r="D11" s="114" t="s">
        <v>25</v>
      </c>
      <c r="E11" s="114" t="s">
        <v>25</v>
      </c>
      <c r="F11" s="114" t="s">
        <v>25</v>
      </c>
      <c r="G11" s="114" t="s">
        <v>34</v>
      </c>
      <c r="H11" s="114" t="s">
        <v>75</v>
      </c>
      <c r="I11" s="114" t="s">
        <v>25</v>
      </c>
      <c r="J11" s="114">
        <v>62.91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19.1686602033604</v>
      </c>
      <c r="Y11" s="114">
        <v>0</v>
      </c>
      <c r="Z11" s="114">
        <v>0</v>
      </c>
      <c r="AA11" s="114">
        <v>43.745436985175999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3">
      <c r="B12" s="113" t="s">
        <v>37</v>
      </c>
      <c r="C12" s="114" t="s">
        <v>23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70</v>
      </c>
      <c r="I12" s="114" t="s">
        <v>25</v>
      </c>
      <c r="J12" s="114">
        <v>0</v>
      </c>
      <c r="K12" s="114">
        <v>169.46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169.459146152042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3">
      <c r="B13" s="113" t="s">
        <v>37</v>
      </c>
      <c r="C13" s="114" t="s">
        <v>79</v>
      </c>
      <c r="D13" s="114" t="s">
        <v>25</v>
      </c>
      <c r="E13" s="114" t="s">
        <v>25</v>
      </c>
      <c r="F13" s="114" t="s">
        <v>25</v>
      </c>
      <c r="G13" s="114" t="s">
        <v>25</v>
      </c>
      <c r="H13" s="114" t="s">
        <v>75</v>
      </c>
      <c r="I13" s="114" t="s">
        <v>25</v>
      </c>
      <c r="J13" s="114">
        <v>11.89</v>
      </c>
      <c r="K13" s="114">
        <v>0</v>
      </c>
      <c r="L13" s="114">
        <v>0</v>
      </c>
      <c r="M13" s="114">
        <v>1.1325191198048E-2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11.8742955766963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3">
      <c r="B14" s="113" t="s">
        <v>37</v>
      </c>
      <c r="C14" s="114" t="s">
        <v>38</v>
      </c>
      <c r="D14" s="114" t="s">
        <v>25</v>
      </c>
      <c r="E14" s="114" t="s">
        <v>25</v>
      </c>
      <c r="F14" s="114" t="s">
        <v>78</v>
      </c>
      <c r="G14" s="114" t="s">
        <v>39</v>
      </c>
      <c r="H14" s="114" t="s">
        <v>70</v>
      </c>
      <c r="I14" s="114" t="s">
        <v>25</v>
      </c>
      <c r="J14" s="114">
        <v>4919</v>
      </c>
      <c r="K14" s="114">
        <v>0</v>
      </c>
      <c r="L14" s="114">
        <v>0</v>
      </c>
      <c r="M14" s="114">
        <v>1.1499943628742799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1141.03168308517</v>
      </c>
      <c r="Y14" s="114">
        <v>0</v>
      </c>
      <c r="Z14" s="114">
        <v>0</v>
      </c>
      <c r="AA14" s="114">
        <v>3765.0402369581402</v>
      </c>
      <c r="AB14" s="114">
        <v>0</v>
      </c>
      <c r="AC14" s="114">
        <v>0</v>
      </c>
      <c r="AD14" s="114">
        <v>0</v>
      </c>
      <c r="AE14" s="114">
        <v>11.7734207552621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3">
      <c r="B15" s="113" t="s">
        <v>37</v>
      </c>
      <c r="C15" s="114" t="s">
        <v>38</v>
      </c>
      <c r="D15" s="114" t="s">
        <v>25</v>
      </c>
      <c r="E15" s="114" t="s">
        <v>25</v>
      </c>
      <c r="F15" s="114" t="s">
        <v>78</v>
      </c>
      <c r="G15" s="114" t="s">
        <v>25</v>
      </c>
      <c r="H15" s="114" t="s">
        <v>75</v>
      </c>
      <c r="I15" s="114" t="s">
        <v>25</v>
      </c>
      <c r="J15" s="114">
        <v>62.91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19.1686602033604</v>
      </c>
      <c r="Y15" s="114">
        <v>0</v>
      </c>
      <c r="Z15" s="114">
        <v>0</v>
      </c>
      <c r="AA15" s="114">
        <v>43.745436985175999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3">
      <c r="B16" s="113" t="s">
        <v>37</v>
      </c>
      <c r="C16" s="114" t="s">
        <v>38</v>
      </c>
      <c r="D16" s="114" t="s">
        <v>25</v>
      </c>
      <c r="E16" s="114" t="s">
        <v>25</v>
      </c>
      <c r="F16" s="114" t="s">
        <v>78</v>
      </c>
      <c r="G16" s="114" t="s">
        <v>34</v>
      </c>
      <c r="H16" s="114" t="s">
        <v>70</v>
      </c>
      <c r="I16" s="114" t="s">
        <v>25</v>
      </c>
      <c r="J16" s="114">
        <v>12.92</v>
      </c>
      <c r="K16" s="114">
        <v>0</v>
      </c>
      <c r="L16" s="114">
        <v>0</v>
      </c>
      <c r="M16" s="114">
        <v>1.1499943628742799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11.7734207552621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3">
      <c r="B17" s="113" t="s">
        <v>37</v>
      </c>
      <c r="C17" s="114" t="s">
        <v>38</v>
      </c>
      <c r="D17" s="114" t="s">
        <v>25</v>
      </c>
      <c r="E17" s="114" t="s">
        <v>25</v>
      </c>
      <c r="F17" s="114" t="s">
        <v>25</v>
      </c>
      <c r="G17" s="114" t="s">
        <v>39</v>
      </c>
      <c r="H17" s="114" t="s">
        <v>70</v>
      </c>
      <c r="I17" s="114" t="s">
        <v>25</v>
      </c>
      <c r="J17" s="114">
        <v>5011.42</v>
      </c>
      <c r="K17" s="114">
        <v>169.46</v>
      </c>
      <c r="L17" s="114">
        <v>0</v>
      </c>
      <c r="M17" s="114">
        <v>1.1499943628742799</v>
      </c>
      <c r="N17" s="114">
        <v>0</v>
      </c>
      <c r="O17" s="114">
        <v>0</v>
      </c>
      <c r="P17" s="114">
        <v>0</v>
      </c>
      <c r="Q17" s="114">
        <v>77.791066518318502</v>
      </c>
      <c r="R17" s="114">
        <v>14.6300481806247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1141.03168308517</v>
      </c>
      <c r="Y17" s="114">
        <v>0</v>
      </c>
      <c r="Z17" s="114">
        <v>0</v>
      </c>
      <c r="AA17" s="114">
        <v>3765.0402369581402</v>
      </c>
      <c r="AB17" s="114">
        <v>0</v>
      </c>
      <c r="AC17" s="114">
        <v>0</v>
      </c>
      <c r="AD17" s="114">
        <v>0</v>
      </c>
      <c r="AE17" s="114">
        <v>11.7734207552621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4">
        <v>169.459146152042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3">
      <c r="B18" s="113" t="s">
        <v>37</v>
      </c>
      <c r="C18" s="114" t="s">
        <v>38</v>
      </c>
      <c r="D18" s="114" t="s">
        <v>25</v>
      </c>
      <c r="E18" s="114" t="s">
        <v>25</v>
      </c>
      <c r="F18" s="114" t="s">
        <v>25</v>
      </c>
      <c r="G18" s="114" t="s">
        <v>25</v>
      </c>
      <c r="H18" s="114" t="s">
        <v>75</v>
      </c>
      <c r="I18" s="114" t="s">
        <v>25</v>
      </c>
      <c r="J18" s="114">
        <v>62.91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19.1686602033604</v>
      </c>
      <c r="Y18" s="114">
        <v>0</v>
      </c>
      <c r="Z18" s="114">
        <v>0</v>
      </c>
      <c r="AA18" s="114">
        <v>43.745436985175999</v>
      </c>
      <c r="AB18" s="114">
        <v>0</v>
      </c>
      <c r="AC18" s="114">
        <v>0</v>
      </c>
      <c r="AD18" s="114">
        <v>0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3">
      <c r="B19" s="113" t="s">
        <v>37</v>
      </c>
      <c r="C19" s="114" t="s">
        <v>38</v>
      </c>
      <c r="D19" s="114" t="s">
        <v>25</v>
      </c>
      <c r="E19" s="114" t="s">
        <v>25</v>
      </c>
      <c r="F19" s="114" t="s">
        <v>25</v>
      </c>
      <c r="G19" s="114" t="s">
        <v>34</v>
      </c>
      <c r="H19" s="114" t="s">
        <v>70</v>
      </c>
      <c r="I19" s="114" t="s">
        <v>25</v>
      </c>
      <c r="J19" s="114">
        <v>105.34</v>
      </c>
      <c r="K19" s="114">
        <v>169.46</v>
      </c>
      <c r="L19" s="114">
        <v>0</v>
      </c>
      <c r="M19" s="114">
        <v>1.1499943628742799</v>
      </c>
      <c r="N19" s="114">
        <v>0</v>
      </c>
      <c r="O19" s="114">
        <v>0</v>
      </c>
      <c r="P19" s="114">
        <v>0</v>
      </c>
      <c r="Q19" s="114">
        <v>77.791066518318502</v>
      </c>
      <c r="R19" s="114">
        <v>14.6300481806247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0</v>
      </c>
      <c r="AB19" s="114">
        <v>0</v>
      </c>
      <c r="AC19" s="114">
        <v>0</v>
      </c>
      <c r="AD19" s="114">
        <v>0</v>
      </c>
      <c r="AE19" s="114">
        <v>11.7734207552621</v>
      </c>
      <c r="AF19" s="114">
        <v>0</v>
      </c>
      <c r="AG19" s="114">
        <v>0</v>
      </c>
      <c r="AH19" s="114">
        <v>0</v>
      </c>
      <c r="AI19" s="114">
        <v>0</v>
      </c>
      <c r="AJ19" s="114">
        <v>0</v>
      </c>
      <c r="AK19" s="114">
        <v>0</v>
      </c>
      <c r="AL19" s="114">
        <v>0</v>
      </c>
      <c r="AM19" s="114">
        <v>0</v>
      </c>
      <c r="AN19" s="114">
        <v>169.459146152042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3">
      <c r="B20" s="113" t="s">
        <v>80</v>
      </c>
      <c r="C20" s="114" t="s">
        <v>79</v>
      </c>
      <c r="D20" s="114" t="s">
        <v>25</v>
      </c>
      <c r="E20" s="114" t="s">
        <v>25</v>
      </c>
      <c r="F20" s="114" t="s">
        <v>81</v>
      </c>
      <c r="G20" s="114" t="s">
        <v>25</v>
      </c>
      <c r="H20" s="114" t="s">
        <v>75</v>
      </c>
      <c r="I20" s="114" t="s">
        <v>25</v>
      </c>
      <c r="J20" s="114">
        <v>20.43</v>
      </c>
      <c r="K20" s="114">
        <v>0</v>
      </c>
      <c r="L20" s="114">
        <v>0</v>
      </c>
      <c r="M20" s="114">
        <v>1.1636893708086E-2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20.413768057841601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3">
      <c r="B21" s="113" t="s">
        <v>80</v>
      </c>
      <c r="C21" s="114" t="s">
        <v>79</v>
      </c>
      <c r="D21" s="114" t="s">
        <v>25</v>
      </c>
      <c r="E21" s="114" t="s">
        <v>25</v>
      </c>
      <c r="F21" s="114" t="s">
        <v>82</v>
      </c>
      <c r="G21" s="114" t="s">
        <v>25</v>
      </c>
      <c r="H21" s="114" t="s">
        <v>75</v>
      </c>
      <c r="I21" s="114" t="s">
        <v>25</v>
      </c>
      <c r="J21" s="114">
        <v>41.54</v>
      </c>
      <c r="K21" s="114">
        <v>0</v>
      </c>
      <c r="L21" s="114">
        <v>0</v>
      </c>
      <c r="M21" s="114">
        <v>1.1636893708086E-2</v>
      </c>
      <c r="N21" s="114">
        <v>0</v>
      </c>
      <c r="O21" s="114">
        <v>0</v>
      </c>
      <c r="P21" s="114">
        <v>0</v>
      </c>
      <c r="Q21" s="114">
        <v>0</v>
      </c>
      <c r="R21" s="114">
        <v>0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  <c r="AA21" s="114">
        <v>41.532465286617999</v>
      </c>
      <c r="AB21" s="114">
        <v>0</v>
      </c>
      <c r="AC21" s="114">
        <v>0</v>
      </c>
      <c r="AD21" s="114">
        <v>0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3">
      <c r="B22" s="113" t="s">
        <v>22</v>
      </c>
      <c r="C22" s="114" t="s">
        <v>33</v>
      </c>
      <c r="D22" s="114" t="s">
        <v>24</v>
      </c>
      <c r="E22" s="114" t="s">
        <v>24</v>
      </c>
      <c r="F22" s="114" t="s">
        <v>25</v>
      </c>
      <c r="G22" s="114" t="s">
        <v>39</v>
      </c>
      <c r="H22" s="114" t="s">
        <v>70</v>
      </c>
      <c r="I22" s="114" t="s">
        <v>25</v>
      </c>
      <c r="J22" s="114">
        <v>2317.2399999999998</v>
      </c>
      <c r="K22" s="114">
        <v>169.46</v>
      </c>
      <c r="L22" s="114">
        <v>0</v>
      </c>
      <c r="M22" s="114">
        <v>2.6337825076414698</v>
      </c>
      <c r="N22" s="114">
        <v>0</v>
      </c>
      <c r="O22" s="114">
        <v>0</v>
      </c>
      <c r="P22" s="114">
        <v>0</v>
      </c>
      <c r="Q22" s="114">
        <v>92.608412521807793</v>
      </c>
      <c r="R22" s="114">
        <v>14.6300481806247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417.739316592097</v>
      </c>
      <c r="Y22" s="114">
        <v>0</v>
      </c>
      <c r="Z22" s="114">
        <v>0</v>
      </c>
      <c r="AA22" s="114">
        <v>1759.1365454173299</v>
      </c>
      <c r="AB22" s="114">
        <v>0</v>
      </c>
      <c r="AC22" s="114">
        <v>0</v>
      </c>
      <c r="AD22" s="114">
        <v>0</v>
      </c>
      <c r="AE22" s="114">
        <v>30.493795902537499</v>
      </c>
      <c r="AF22" s="114">
        <v>0</v>
      </c>
      <c r="AG22" s="114">
        <v>0</v>
      </c>
      <c r="AH22" s="114">
        <v>0</v>
      </c>
      <c r="AI22" s="114">
        <v>0</v>
      </c>
      <c r="AJ22" s="114">
        <v>0</v>
      </c>
      <c r="AK22" s="114">
        <v>0</v>
      </c>
      <c r="AL22" s="114">
        <v>0</v>
      </c>
      <c r="AM22" s="114">
        <v>0</v>
      </c>
      <c r="AN22" s="114">
        <v>169.459146152042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3">
      <c r="B23" s="113" t="s">
        <v>22</v>
      </c>
      <c r="C23" s="114" t="s">
        <v>33</v>
      </c>
      <c r="D23" s="114" t="s">
        <v>24</v>
      </c>
      <c r="E23" s="114" t="s">
        <v>24</v>
      </c>
      <c r="F23" s="114" t="s">
        <v>25</v>
      </c>
      <c r="G23" s="114" t="s">
        <v>42</v>
      </c>
      <c r="H23" s="114" t="s">
        <v>70</v>
      </c>
      <c r="I23" s="114" t="s">
        <v>25</v>
      </c>
      <c r="J23" s="114">
        <v>1446.49</v>
      </c>
      <c r="K23" s="114">
        <v>169.46</v>
      </c>
      <c r="L23" s="114">
        <v>0</v>
      </c>
      <c r="M23" s="114">
        <v>2.6337825076414698</v>
      </c>
      <c r="N23" s="114">
        <v>0</v>
      </c>
      <c r="O23" s="114">
        <v>0</v>
      </c>
      <c r="P23" s="114">
        <v>0</v>
      </c>
      <c r="Q23" s="114">
        <v>92.608412521807793</v>
      </c>
      <c r="R23" s="114">
        <v>14.6300481806247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250.64363741800301</v>
      </c>
      <c r="Y23" s="114">
        <v>0</v>
      </c>
      <c r="Z23" s="114">
        <v>0</v>
      </c>
      <c r="AA23" s="114">
        <v>1055.48243758628</v>
      </c>
      <c r="AB23" s="114">
        <v>0</v>
      </c>
      <c r="AC23" s="114">
        <v>0</v>
      </c>
      <c r="AD23" s="114">
        <v>0</v>
      </c>
      <c r="AE23" s="114">
        <v>30.493795902537499</v>
      </c>
      <c r="AF23" s="114">
        <v>0</v>
      </c>
      <c r="AG23" s="114">
        <v>0</v>
      </c>
      <c r="AH23" s="114">
        <v>0</v>
      </c>
      <c r="AI23" s="114">
        <v>0</v>
      </c>
      <c r="AJ23" s="114">
        <v>0</v>
      </c>
      <c r="AK23" s="114">
        <v>0</v>
      </c>
      <c r="AL23" s="114">
        <v>0</v>
      </c>
      <c r="AM23" s="114">
        <v>0</v>
      </c>
      <c r="AN23" s="114">
        <v>169.459146152042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3">
      <c r="B24" s="113" t="s">
        <v>22</v>
      </c>
      <c r="C24" s="114" t="s">
        <v>33</v>
      </c>
      <c r="D24" s="114" t="s">
        <v>24</v>
      </c>
      <c r="E24" s="114" t="s">
        <v>24</v>
      </c>
      <c r="F24" s="114" t="s">
        <v>25</v>
      </c>
      <c r="G24" s="114" t="s">
        <v>34</v>
      </c>
      <c r="H24" s="114" t="s">
        <v>70</v>
      </c>
      <c r="I24" s="114" t="s">
        <v>25</v>
      </c>
      <c r="J24" s="114">
        <v>575.82000000000005</v>
      </c>
      <c r="K24" s="114">
        <v>169.46</v>
      </c>
      <c r="L24" s="114">
        <v>0</v>
      </c>
      <c r="M24" s="114">
        <v>2.6337825076414698</v>
      </c>
      <c r="N24" s="114">
        <v>0</v>
      </c>
      <c r="O24" s="114">
        <v>0</v>
      </c>
      <c r="P24" s="114">
        <v>0</v>
      </c>
      <c r="Q24" s="114">
        <v>92.608412521807793</v>
      </c>
      <c r="R24" s="114">
        <v>14.6300481806247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83.624254606644698</v>
      </c>
      <c r="Y24" s="114">
        <v>0</v>
      </c>
      <c r="Z24" s="114">
        <v>0</v>
      </c>
      <c r="AA24" s="114">
        <v>351.82699844423303</v>
      </c>
      <c r="AB24" s="114">
        <v>0</v>
      </c>
      <c r="AC24" s="114">
        <v>0</v>
      </c>
      <c r="AD24" s="114">
        <v>0</v>
      </c>
      <c r="AE24" s="114">
        <v>30.493795902537499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169.459146152042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3">
      <c r="B25" s="113" t="s">
        <v>22</v>
      </c>
      <c r="C25" s="114" t="s">
        <v>23</v>
      </c>
      <c r="D25" s="114" t="s">
        <v>24</v>
      </c>
      <c r="E25" s="114" t="s">
        <v>1179</v>
      </c>
      <c r="F25" s="114" t="s">
        <v>25</v>
      </c>
      <c r="G25" s="114" t="s">
        <v>25</v>
      </c>
      <c r="H25" s="114" t="s">
        <v>70</v>
      </c>
      <c r="I25" s="114" t="s">
        <v>25</v>
      </c>
      <c r="J25" s="114">
        <v>839.31</v>
      </c>
      <c r="K25" s="114">
        <v>169.46</v>
      </c>
      <c r="L25" s="114">
        <v>0</v>
      </c>
      <c r="M25" s="114">
        <v>2.6337825076414698</v>
      </c>
      <c r="N25" s="114">
        <v>0</v>
      </c>
      <c r="O25" s="114">
        <v>0</v>
      </c>
      <c r="P25" s="114">
        <v>0</v>
      </c>
      <c r="Q25" s="114">
        <v>0</v>
      </c>
      <c r="R25" s="114">
        <v>0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154.647506362006</v>
      </c>
      <c r="Y25" s="114">
        <v>0</v>
      </c>
      <c r="Z25" s="114">
        <v>0</v>
      </c>
      <c r="AA25" s="114">
        <v>651.53228396140298</v>
      </c>
      <c r="AB25" s="114">
        <v>0</v>
      </c>
      <c r="AC25" s="114">
        <v>0</v>
      </c>
      <c r="AD25" s="114">
        <v>0</v>
      </c>
      <c r="AE25" s="114">
        <v>30.493795902537499</v>
      </c>
      <c r="AF25" s="114">
        <v>0</v>
      </c>
      <c r="AG25" s="114">
        <v>0</v>
      </c>
      <c r="AH25" s="114">
        <v>0</v>
      </c>
      <c r="AI25" s="114">
        <v>0</v>
      </c>
      <c r="AJ25" s="114">
        <v>0</v>
      </c>
      <c r="AK25" s="114">
        <v>0</v>
      </c>
      <c r="AL25" s="114">
        <v>0</v>
      </c>
      <c r="AM25" s="114">
        <v>0</v>
      </c>
      <c r="AN25" s="114">
        <v>169.459146152042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3">
      <c r="B26" s="113" t="s">
        <v>22</v>
      </c>
      <c r="C26" s="114" t="s">
        <v>23</v>
      </c>
      <c r="D26" s="114" t="s">
        <v>24</v>
      </c>
      <c r="E26" s="114" t="s">
        <v>24</v>
      </c>
      <c r="F26" s="114" t="s">
        <v>25</v>
      </c>
      <c r="G26" s="114" t="s">
        <v>25</v>
      </c>
      <c r="H26" s="114" t="s">
        <v>70</v>
      </c>
      <c r="I26" s="114" t="s">
        <v>25</v>
      </c>
      <c r="J26" s="114">
        <v>946.55</v>
      </c>
      <c r="K26" s="114">
        <v>169.46</v>
      </c>
      <c r="L26" s="114">
        <v>0</v>
      </c>
      <c r="M26" s="114">
        <v>2.6337825076414698</v>
      </c>
      <c r="N26" s="114">
        <v>0</v>
      </c>
      <c r="O26" s="114">
        <v>0</v>
      </c>
      <c r="P26" s="114">
        <v>0</v>
      </c>
      <c r="Q26" s="114">
        <v>92.608412521807793</v>
      </c>
      <c r="R26" s="114">
        <v>14.6300481806247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154.647506362006</v>
      </c>
      <c r="Y26" s="114">
        <v>0</v>
      </c>
      <c r="Z26" s="114">
        <v>0</v>
      </c>
      <c r="AA26" s="114">
        <v>651.53228396140298</v>
      </c>
      <c r="AB26" s="114">
        <v>0</v>
      </c>
      <c r="AC26" s="114">
        <v>0</v>
      </c>
      <c r="AD26" s="114">
        <v>0</v>
      </c>
      <c r="AE26" s="114">
        <v>30.493795902537499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4">
        <v>169.459146152042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3">
      <c r="B27" s="113" t="s">
        <v>22</v>
      </c>
      <c r="C27" s="114" t="s">
        <v>85</v>
      </c>
      <c r="D27" s="114" t="s">
        <v>24</v>
      </c>
      <c r="E27" s="114" t="s">
        <v>1179</v>
      </c>
      <c r="F27" s="114" t="s">
        <v>25</v>
      </c>
      <c r="G27" s="114" t="s">
        <v>25</v>
      </c>
      <c r="H27" s="114" t="s">
        <v>70</v>
      </c>
      <c r="I27" s="114" t="s">
        <v>25</v>
      </c>
      <c r="J27" s="114">
        <v>839.31</v>
      </c>
      <c r="K27" s="114">
        <v>169.46</v>
      </c>
      <c r="L27" s="114">
        <v>0</v>
      </c>
      <c r="M27" s="114">
        <v>2.6337825076414698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154.647506362006</v>
      </c>
      <c r="Y27" s="114">
        <v>0</v>
      </c>
      <c r="Z27" s="114">
        <v>0</v>
      </c>
      <c r="AA27" s="114">
        <v>651.53228396140298</v>
      </c>
      <c r="AB27" s="114">
        <v>0</v>
      </c>
      <c r="AC27" s="114">
        <v>0</v>
      </c>
      <c r="AD27" s="114">
        <v>0</v>
      </c>
      <c r="AE27" s="114">
        <v>30.493795902537499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169.459146152042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3">
      <c r="B28" s="113" t="s">
        <v>22</v>
      </c>
      <c r="C28" s="114" t="s">
        <v>85</v>
      </c>
      <c r="D28" s="114" t="s">
        <v>24</v>
      </c>
      <c r="E28" s="114" t="s">
        <v>24</v>
      </c>
      <c r="F28" s="114" t="s">
        <v>25</v>
      </c>
      <c r="G28" s="114" t="s">
        <v>25</v>
      </c>
      <c r="H28" s="114" t="s">
        <v>70</v>
      </c>
      <c r="I28" s="114" t="s">
        <v>25</v>
      </c>
      <c r="J28" s="114">
        <v>946.55</v>
      </c>
      <c r="K28" s="114">
        <v>169.46</v>
      </c>
      <c r="L28" s="114">
        <v>0</v>
      </c>
      <c r="M28" s="114">
        <v>2.6337825076414698</v>
      </c>
      <c r="N28" s="114">
        <v>0</v>
      </c>
      <c r="O28" s="114">
        <v>0</v>
      </c>
      <c r="P28" s="114">
        <v>0</v>
      </c>
      <c r="Q28" s="114">
        <v>92.608412521807793</v>
      </c>
      <c r="R28" s="114">
        <v>14.6300481806247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154.647506362006</v>
      </c>
      <c r="Y28" s="114">
        <v>0</v>
      </c>
      <c r="Z28" s="114">
        <v>0</v>
      </c>
      <c r="AA28" s="114">
        <v>651.53228396140298</v>
      </c>
      <c r="AB28" s="114">
        <v>0</v>
      </c>
      <c r="AC28" s="114">
        <v>0</v>
      </c>
      <c r="AD28" s="114">
        <v>0</v>
      </c>
      <c r="AE28" s="114">
        <v>30.493795902537499</v>
      </c>
      <c r="AF28" s="114">
        <v>0</v>
      </c>
      <c r="AG28" s="114">
        <v>0</v>
      </c>
      <c r="AH28" s="114">
        <v>0</v>
      </c>
      <c r="AI28" s="114">
        <v>0</v>
      </c>
      <c r="AJ28" s="114">
        <v>0</v>
      </c>
      <c r="AK28" s="114">
        <v>0</v>
      </c>
      <c r="AL28" s="114">
        <v>0</v>
      </c>
      <c r="AM28" s="114">
        <v>0</v>
      </c>
      <c r="AN28" s="114">
        <v>169.459146152042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3">
      <c r="B29" s="113" t="s">
        <v>43</v>
      </c>
      <c r="C29" s="114" t="s">
        <v>33</v>
      </c>
      <c r="D29" s="114" t="s">
        <v>44</v>
      </c>
      <c r="E29" s="114" t="s">
        <v>86</v>
      </c>
      <c r="F29" s="114" t="s">
        <v>25</v>
      </c>
      <c r="G29" s="114" t="s">
        <v>39</v>
      </c>
      <c r="H29" s="114" t="s">
        <v>70</v>
      </c>
      <c r="I29" s="114" t="s">
        <v>25</v>
      </c>
      <c r="J29" s="114">
        <v>2367.5</v>
      </c>
      <c r="K29" s="114">
        <v>159.29</v>
      </c>
      <c r="L29" s="114">
        <v>0</v>
      </c>
      <c r="M29" s="114">
        <v>2.4757555571829801</v>
      </c>
      <c r="N29" s="114">
        <v>0</v>
      </c>
      <c r="O29" s="114">
        <v>0</v>
      </c>
      <c r="P29" s="114">
        <v>0</v>
      </c>
      <c r="Q29" s="114">
        <v>87.051907770499298</v>
      </c>
      <c r="R29" s="114">
        <v>13.752245289787201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428.85558747828202</v>
      </c>
      <c r="Y29" s="114">
        <v>0</v>
      </c>
      <c r="Z29" s="114">
        <v>0</v>
      </c>
      <c r="AA29" s="114">
        <v>1806.69870013829</v>
      </c>
      <c r="AB29" s="114">
        <v>0</v>
      </c>
      <c r="AC29" s="114">
        <v>0</v>
      </c>
      <c r="AD29" s="114">
        <v>0</v>
      </c>
      <c r="AE29" s="114">
        <v>28.664168148385201</v>
      </c>
      <c r="AF29" s="114">
        <v>0</v>
      </c>
      <c r="AG29" s="114">
        <v>0</v>
      </c>
      <c r="AH29" s="114">
        <v>0</v>
      </c>
      <c r="AI29" s="114">
        <v>0</v>
      </c>
      <c r="AJ29" s="114">
        <v>0</v>
      </c>
      <c r="AK29" s="114">
        <v>0</v>
      </c>
      <c r="AL29" s="114">
        <v>0</v>
      </c>
      <c r="AM29" s="114">
        <v>0</v>
      </c>
      <c r="AN29" s="114">
        <v>159.29159738292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3">
      <c r="B30" s="113" t="s">
        <v>43</v>
      </c>
      <c r="C30" s="114" t="s">
        <v>33</v>
      </c>
      <c r="D30" s="114" t="s">
        <v>44</v>
      </c>
      <c r="E30" s="114" t="s">
        <v>86</v>
      </c>
      <c r="F30" s="114" t="s">
        <v>25</v>
      </c>
      <c r="G30" s="114" t="s">
        <v>42</v>
      </c>
      <c r="H30" s="114" t="s">
        <v>70</v>
      </c>
      <c r="I30" s="114" t="s">
        <v>25</v>
      </c>
      <c r="J30" s="114">
        <v>1473.25</v>
      </c>
      <c r="K30" s="114">
        <v>159.29</v>
      </c>
      <c r="L30" s="114">
        <v>0</v>
      </c>
      <c r="M30" s="114">
        <v>2.4757555571829801</v>
      </c>
      <c r="N30" s="114">
        <v>0</v>
      </c>
      <c r="O30" s="114">
        <v>0</v>
      </c>
      <c r="P30" s="114">
        <v>0</v>
      </c>
      <c r="Q30" s="114">
        <v>87.051907770499298</v>
      </c>
      <c r="R30" s="114">
        <v>13.752245289787201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257.28466505458101</v>
      </c>
      <c r="Y30" s="114">
        <v>0</v>
      </c>
      <c r="Z30" s="114">
        <v>0</v>
      </c>
      <c r="AA30" s="114">
        <v>1084.0189489392999</v>
      </c>
      <c r="AB30" s="114">
        <v>0</v>
      </c>
      <c r="AC30" s="114">
        <v>0</v>
      </c>
      <c r="AD30" s="114">
        <v>0</v>
      </c>
      <c r="AE30" s="114">
        <v>28.664168148385201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159.29159738292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3">
      <c r="B31" s="113" t="s">
        <v>43</v>
      </c>
      <c r="C31" s="114" t="s">
        <v>33</v>
      </c>
      <c r="D31" s="114" t="s">
        <v>44</v>
      </c>
      <c r="E31" s="114" t="s">
        <v>86</v>
      </c>
      <c r="F31" s="114" t="s">
        <v>25</v>
      </c>
      <c r="G31" s="114" t="s">
        <v>34</v>
      </c>
      <c r="H31" s="114" t="s">
        <v>70</v>
      </c>
      <c r="I31" s="114" t="s">
        <v>25</v>
      </c>
      <c r="J31" s="114">
        <v>579</v>
      </c>
      <c r="K31" s="114">
        <v>159.29</v>
      </c>
      <c r="L31" s="114">
        <v>0</v>
      </c>
      <c r="M31" s="114">
        <v>2.4757555571829801</v>
      </c>
      <c r="N31" s="114">
        <v>0</v>
      </c>
      <c r="O31" s="114">
        <v>0</v>
      </c>
      <c r="P31" s="114">
        <v>0</v>
      </c>
      <c r="Q31" s="114">
        <v>87.051907770499298</v>
      </c>
      <c r="R31" s="114">
        <v>13.752245289787201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85.713742630879594</v>
      </c>
      <c r="Y31" s="114">
        <v>0</v>
      </c>
      <c r="Z31" s="114">
        <v>0</v>
      </c>
      <c r="AA31" s="114">
        <v>361.33961488442401</v>
      </c>
      <c r="AB31" s="114">
        <v>0</v>
      </c>
      <c r="AC31" s="114">
        <v>0</v>
      </c>
      <c r="AD31" s="114">
        <v>0</v>
      </c>
      <c r="AE31" s="114">
        <v>28.664168148385201</v>
      </c>
      <c r="AF31" s="114">
        <v>0</v>
      </c>
      <c r="AG31" s="114">
        <v>0</v>
      </c>
      <c r="AH31" s="114">
        <v>0</v>
      </c>
      <c r="AI31" s="114">
        <v>0</v>
      </c>
      <c r="AJ31" s="114">
        <v>0</v>
      </c>
      <c r="AK31" s="114">
        <v>0</v>
      </c>
      <c r="AL31" s="114">
        <v>0</v>
      </c>
      <c r="AM31" s="114">
        <v>0</v>
      </c>
      <c r="AN31" s="114">
        <v>159.29159738292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3">
      <c r="B32" s="113" t="s">
        <v>43</v>
      </c>
      <c r="C32" s="114" t="s">
        <v>33</v>
      </c>
      <c r="D32" s="114" t="s">
        <v>44</v>
      </c>
      <c r="E32" s="114" t="s">
        <v>25</v>
      </c>
      <c r="F32" s="114" t="s">
        <v>25</v>
      </c>
      <c r="G32" s="114" t="s">
        <v>39</v>
      </c>
      <c r="H32" s="114" t="s">
        <v>70</v>
      </c>
      <c r="I32" s="114" t="s">
        <v>25</v>
      </c>
      <c r="J32" s="114">
        <v>2367.5</v>
      </c>
      <c r="K32" s="114">
        <v>159.29</v>
      </c>
      <c r="L32" s="114">
        <v>0</v>
      </c>
      <c r="M32" s="114">
        <v>2.4757555571829801</v>
      </c>
      <c r="N32" s="114">
        <v>0</v>
      </c>
      <c r="O32" s="114">
        <v>0</v>
      </c>
      <c r="P32" s="114">
        <v>0</v>
      </c>
      <c r="Q32" s="114">
        <v>87.051907770499298</v>
      </c>
      <c r="R32" s="114">
        <v>13.752245289787201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428.85558747828202</v>
      </c>
      <c r="Y32" s="114">
        <v>0</v>
      </c>
      <c r="Z32" s="114">
        <v>0</v>
      </c>
      <c r="AA32" s="114">
        <v>1806.69870013829</v>
      </c>
      <c r="AB32" s="114">
        <v>0</v>
      </c>
      <c r="AC32" s="114">
        <v>0</v>
      </c>
      <c r="AD32" s="114">
        <v>0</v>
      </c>
      <c r="AE32" s="114">
        <v>28.664168148385201</v>
      </c>
      <c r="AF32" s="114">
        <v>0</v>
      </c>
      <c r="AG32" s="114">
        <v>0</v>
      </c>
      <c r="AH32" s="114">
        <v>0</v>
      </c>
      <c r="AI32" s="114">
        <v>0</v>
      </c>
      <c r="AJ32" s="114">
        <v>0</v>
      </c>
      <c r="AK32" s="114">
        <v>0</v>
      </c>
      <c r="AL32" s="114">
        <v>0</v>
      </c>
      <c r="AM32" s="114">
        <v>0</v>
      </c>
      <c r="AN32" s="114">
        <v>159.29159738292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3">
      <c r="B33" s="113" t="s">
        <v>43</v>
      </c>
      <c r="C33" s="114" t="s">
        <v>33</v>
      </c>
      <c r="D33" s="114" t="s">
        <v>44</v>
      </c>
      <c r="E33" s="114" t="s">
        <v>25</v>
      </c>
      <c r="F33" s="114" t="s">
        <v>25</v>
      </c>
      <c r="G33" s="114" t="s">
        <v>42</v>
      </c>
      <c r="H33" s="114" t="s">
        <v>70</v>
      </c>
      <c r="I33" s="114" t="s">
        <v>25</v>
      </c>
      <c r="J33" s="114">
        <v>1473.25</v>
      </c>
      <c r="K33" s="114">
        <v>159.29</v>
      </c>
      <c r="L33" s="114">
        <v>0</v>
      </c>
      <c r="M33" s="114">
        <v>2.4757555571829801</v>
      </c>
      <c r="N33" s="114">
        <v>0</v>
      </c>
      <c r="O33" s="114">
        <v>0</v>
      </c>
      <c r="P33" s="114">
        <v>0</v>
      </c>
      <c r="Q33" s="114">
        <v>87.051907770499298</v>
      </c>
      <c r="R33" s="114">
        <v>13.752245289787201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257.28466505458101</v>
      </c>
      <c r="Y33" s="114">
        <v>0</v>
      </c>
      <c r="Z33" s="114">
        <v>0</v>
      </c>
      <c r="AA33" s="114">
        <v>1084.0189489392999</v>
      </c>
      <c r="AB33" s="114">
        <v>0</v>
      </c>
      <c r="AC33" s="114">
        <v>0</v>
      </c>
      <c r="AD33" s="114">
        <v>0</v>
      </c>
      <c r="AE33" s="114">
        <v>28.664168148385201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159.29159738292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3">
      <c r="B34" s="113" t="s">
        <v>43</v>
      </c>
      <c r="C34" s="114" t="s">
        <v>33</v>
      </c>
      <c r="D34" s="114" t="s">
        <v>44</v>
      </c>
      <c r="E34" s="114" t="s">
        <v>25</v>
      </c>
      <c r="F34" s="114" t="s">
        <v>25</v>
      </c>
      <c r="G34" s="114" t="s">
        <v>34</v>
      </c>
      <c r="H34" s="114" t="s">
        <v>70</v>
      </c>
      <c r="I34" s="114" t="s">
        <v>25</v>
      </c>
      <c r="J34" s="114">
        <v>579</v>
      </c>
      <c r="K34" s="114">
        <v>159.29</v>
      </c>
      <c r="L34" s="114">
        <v>0</v>
      </c>
      <c r="M34" s="114">
        <v>2.4757555571829801</v>
      </c>
      <c r="N34" s="114">
        <v>0</v>
      </c>
      <c r="O34" s="114">
        <v>0</v>
      </c>
      <c r="P34" s="114">
        <v>0</v>
      </c>
      <c r="Q34" s="114">
        <v>87.051907770499298</v>
      </c>
      <c r="R34" s="114">
        <v>13.752245289787201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85.713742630879594</v>
      </c>
      <c r="Y34" s="114">
        <v>0</v>
      </c>
      <c r="Z34" s="114">
        <v>0</v>
      </c>
      <c r="AA34" s="114">
        <v>361.33961488442401</v>
      </c>
      <c r="AB34" s="114">
        <v>0</v>
      </c>
      <c r="AC34" s="114">
        <v>0</v>
      </c>
      <c r="AD34" s="114">
        <v>0</v>
      </c>
      <c r="AE34" s="114">
        <v>28.664168148385201</v>
      </c>
      <c r="AF34" s="114">
        <v>0</v>
      </c>
      <c r="AG34" s="114">
        <v>0</v>
      </c>
      <c r="AH34" s="114">
        <v>0</v>
      </c>
      <c r="AI34" s="114">
        <v>0</v>
      </c>
      <c r="AJ34" s="114">
        <v>0</v>
      </c>
      <c r="AK34" s="114">
        <v>0</v>
      </c>
      <c r="AL34" s="114">
        <v>0</v>
      </c>
      <c r="AM34" s="114">
        <v>0</v>
      </c>
      <c r="AN34" s="114">
        <v>159.29159738292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3">
      <c r="B35" s="113" t="s">
        <v>43</v>
      </c>
      <c r="C35" s="114" t="s">
        <v>33</v>
      </c>
      <c r="D35" s="114" t="s">
        <v>44</v>
      </c>
      <c r="E35" s="114" t="s">
        <v>87</v>
      </c>
      <c r="F35" s="114" t="s">
        <v>25</v>
      </c>
      <c r="G35" s="114" t="s">
        <v>39</v>
      </c>
      <c r="H35" s="114" t="s">
        <v>70</v>
      </c>
      <c r="I35" s="114" t="s">
        <v>25</v>
      </c>
      <c r="J35" s="114">
        <v>2317.13</v>
      </c>
      <c r="K35" s="114">
        <v>155.9</v>
      </c>
      <c r="L35" s="114">
        <v>0</v>
      </c>
      <c r="M35" s="114">
        <v>2.4230799070301599</v>
      </c>
      <c r="N35" s="114">
        <v>0</v>
      </c>
      <c r="O35" s="114">
        <v>0</v>
      </c>
      <c r="P35" s="114">
        <v>0</v>
      </c>
      <c r="Q35" s="114">
        <v>85.199739520063204</v>
      </c>
      <c r="R35" s="114">
        <v>13.459644326174701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419.73100051065899</v>
      </c>
      <c r="Y35" s="114">
        <v>0</v>
      </c>
      <c r="Z35" s="114">
        <v>0</v>
      </c>
      <c r="AA35" s="114">
        <v>1768.2583022629999</v>
      </c>
      <c r="AB35" s="114">
        <v>0</v>
      </c>
      <c r="AC35" s="114">
        <v>0</v>
      </c>
      <c r="AD35" s="114">
        <v>0</v>
      </c>
      <c r="AE35" s="114">
        <v>28.0542922303345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155.902414459879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3">
      <c r="B36" s="113" t="s">
        <v>43</v>
      </c>
      <c r="C36" s="114" t="s">
        <v>33</v>
      </c>
      <c r="D36" s="114" t="s">
        <v>44</v>
      </c>
      <c r="E36" s="114" t="s">
        <v>87</v>
      </c>
      <c r="F36" s="114" t="s">
        <v>25</v>
      </c>
      <c r="G36" s="114" t="s">
        <v>42</v>
      </c>
      <c r="H36" s="114" t="s">
        <v>70</v>
      </c>
      <c r="I36" s="114" t="s">
        <v>25</v>
      </c>
      <c r="J36" s="114">
        <v>1441.9</v>
      </c>
      <c r="K36" s="114">
        <v>155.9</v>
      </c>
      <c r="L36" s="114">
        <v>0</v>
      </c>
      <c r="M36" s="114">
        <v>2.4230799070301599</v>
      </c>
      <c r="N36" s="114">
        <v>0</v>
      </c>
      <c r="O36" s="114">
        <v>0</v>
      </c>
      <c r="P36" s="114">
        <v>0</v>
      </c>
      <c r="Q36" s="114">
        <v>85.199739520063204</v>
      </c>
      <c r="R36" s="114">
        <v>13.459644326174701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251.81052324490901</v>
      </c>
      <c r="Y36" s="114">
        <v>0</v>
      </c>
      <c r="Z36" s="114">
        <v>0</v>
      </c>
      <c r="AA36" s="114">
        <v>1060.95471598314</v>
      </c>
      <c r="AB36" s="114">
        <v>0</v>
      </c>
      <c r="AC36" s="114">
        <v>0</v>
      </c>
      <c r="AD36" s="114">
        <v>0</v>
      </c>
      <c r="AE36" s="114">
        <v>28.0542922303345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155.902414459879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3">
      <c r="B37" s="113" t="s">
        <v>43</v>
      </c>
      <c r="C37" s="114" t="s">
        <v>33</v>
      </c>
      <c r="D37" s="114" t="s">
        <v>44</v>
      </c>
      <c r="E37" s="114" t="s">
        <v>87</v>
      </c>
      <c r="F37" s="114" t="s">
        <v>25</v>
      </c>
      <c r="G37" s="114" t="s">
        <v>34</v>
      </c>
      <c r="H37" s="114" t="s">
        <v>70</v>
      </c>
      <c r="I37" s="114" t="s">
        <v>25</v>
      </c>
      <c r="J37" s="114">
        <v>566.67999999999995</v>
      </c>
      <c r="K37" s="114">
        <v>155.9</v>
      </c>
      <c r="L37" s="114">
        <v>0</v>
      </c>
      <c r="M37" s="114">
        <v>2.4230799070301599</v>
      </c>
      <c r="N37" s="114">
        <v>0</v>
      </c>
      <c r="O37" s="114">
        <v>0</v>
      </c>
      <c r="P37" s="114">
        <v>0</v>
      </c>
      <c r="Q37" s="114">
        <v>85.199739520063204</v>
      </c>
      <c r="R37" s="114">
        <v>13.459644326174701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83.890045979158799</v>
      </c>
      <c r="Y37" s="114">
        <v>0</v>
      </c>
      <c r="Z37" s="114">
        <v>0</v>
      </c>
      <c r="AA37" s="114">
        <v>353.651537971989</v>
      </c>
      <c r="AB37" s="114">
        <v>0</v>
      </c>
      <c r="AC37" s="114">
        <v>0</v>
      </c>
      <c r="AD37" s="114">
        <v>0</v>
      </c>
      <c r="AE37" s="114">
        <v>28.0542922303345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155.902414459879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3">
      <c r="B38" s="113" t="s">
        <v>43</v>
      </c>
      <c r="C38" s="114" t="s">
        <v>23</v>
      </c>
      <c r="D38" s="114" t="s">
        <v>44</v>
      </c>
      <c r="E38" s="114" t="s">
        <v>86</v>
      </c>
      <c r="F38" s="114" t="s">
        <v>25</v>
      </c>
      <c r="G38" s="114" t="s">
        <v>25</v>
      </c>
      <c r="H38" s="114" t="s">
        <v>70</v>
      </c>
      <c r="I38" s="114" t="s">
        <v>25</v>
      </c>
      <c r="J38" s="114">
        <v>889.75</v>
      </c>
      <c r="K38" s="114">
        <v>159.29</v>
      </c>
      <c r="L38" s="114">
        <v>0</v>
      </c>
      <c r="M38" s="114">
        <v>2.4757555571829801</v>
      </c>
      <c r="N38" s="114">
        <v>0</v>
      </c>
      <c r="O38" s="114">
        <v>0</v>
      </c>
      <c r="P38" s="114">
        <v>0</v>
      </c>
      <c r="Q38" s="114">
        <v>87.051907770499298</v>
      </c>
      <c r="R38" s="114">
        <v>13.752245289787201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145.36865598028601</v>
      </c>
      <c r="Y38" s="114">
        <v>0</v>
      </c>
      <c r="Z38" s="114">
        <v>0</v>
      </c>
      <c r="AA38" s="114">
        <v>612.44034692371895</v>
      </c>
      <c r="AB38" s="114">
        <v>0</v>
      </c>
      <c r="AC38" s="114">
        <v>0</v>
      </c>
      <c r="AD38" s="114">
        <v>0</v>
      </c>
      <c r="AE38" s="114">
        <v>28.664168148385201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159.29159738292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3">
      <c r="B39" s="113" t="s">
        <v>43</v>
      </c>
      <c r="C39" s="114" t="s">
        <v>23</v>
      </c>
      <c r="D39" s="114" t="s">
        <v>44</v>
      </c>
      <c r="E39" s="114" t="s">
        <v>25</v>
      </c>
      <c r="F39" s="114" t="s">
        <v>25</v>
      </c>
      <c r="G39" s="114" t="s">
        <v>25</v>
      </c>
      <c r="H39" s="114" t="s">
        <v>70</v>
      </c>
      <c r="I39" s="114" t="s">
        <v>25</v>
      </c>
      <c r="J39" s="114">
        <v>889.75</v>
      </c>
      <c r="K39" s="114">
        <v>159.29</v>
      </c>
      <c r="L39" s="114">
        <v>0</v>
      </c>
      <c r="M39" s="114">
        <v>2.4757555571829801</v>
      </c>
      <c r="N39" s="114">
        <v>0</v>
      </c>
      <c r="O39" s="114">
        <v>0</v>
      </c>
      <c r="P39" s="114">
        <v>0</v>
      </c>
      <c r="Q39" s="114">
        <v>87.051907770499298</v>
      </c>
      <c r="R39" s="114">
        <v>13.752245289787201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145.36865598028601</v>
      </c>
      <c r="Y39" s="114">
        <v>0</v>
      </c>
      <c r="Z39" s="114">
        <v>0</v>
      </c>
      <c r="AA39" s="114">
        <v>612.44034692371895</v>
      </c>
      <c r="AB39" s="114">
        <v>0</v>
      </c>
      <c r="AC39" s="114">
        <v>0</v>
      </c>
      <c r="AD39" s="114">
        <v>0</v>
      </c>
      <c r="AE39" s="114">
        <v>28.664168148385201</v>
      </c>
      <c r="AF39" s="114">
        <v>0</v>
      </c>
      <c r="AG39" s="114">
        <v>0</v>
      </c>
      <c r="AH39" s="114">
        <v>0</v>
      </c>
      <c r="AI39" s="114">
        <v>0</v>
      </c>
      <c r="AJ39" s="114">
        <v>0</v>
      </c>
      <c r="AK39" s="114">
        <v>0</v>
      </c>
      <c r="AL39" s="114">
        <v>0</v>
      </c>
      <c r="AM39" s="114">
        <v>0</v>
      </c>
      <c r="AN39" s="114">
        <v>159.29159738292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3">
      <c r="B40" s="113" t="s">
        <v>43</v>
      </c>
      <c r="C40" s="114" t="s">
        <v>23</v>
      </c>
      <c r="D40" s="114" t="s">
        <v>44</v>
      </c>
      <c r="E40" s="114" t="s">
        <v>87</v>
      </c>
      <c r="F40" s="114" t="s">
        <v>25</v>
      </c>
      <c r="G40" s="114" t="s">
        <v>25</v>
      </c>
      <c r="H40" s="114" t="s">
        <v>70</v>
      </c>
      <c r="I40" s="114" t="s">
        <v>25</v>
      </c>
      <c r="J40" s="114">
        <v>870.82</v>
      </c>
      <c r="K40" s="114">
        <v>155.9</v>
      </c>
      <c r="L40" s="114">
        <v>0</v>
      </c>
      <c r="M40" s="114">
        <v>2.4230799070301599</v>
      </c>
      <c r="N40" s="114">
        <v>0</v>
      </c>
      <c r="O40" s="114">
        <v>0</v>
      </c>
      <c r="P40" s="114">
        <v>0</v>
      </c>
      <c r="Q40" s="114">
        <v>85.199739520063204</v>
      </c>
      <c r="R40" s="114">
        <v>13.459644326174701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142.27570585304599</v>
      </c>
      <c r="Y40" s="114">
        <v>0</v>
      </c>
      <c r="Z40" s="114">
        <v>0</v>
      </c>
      <c r="AA40" s="114">
        <v>599.40970124449098</v>
      </c>
      <c r="AB40" s="114">
        <v>0</v>
      </c>
      <c r="AC40" s="114">
        <v>0</v>
      </c>
      <c r="AD40" s="114">
        <v>0</v>
      </c>
      <c r="AE40" s="114">
        <v>28.0542922303345</v>
      </c>
      <c r="AF40" s="114">
        <v>0</v>
      </c>
      <c r="AG40" s="114">
        <v>0</v>
      </c>
      <c r="AH40" s="114">
        <v>0</v>
      </c>
      <c r="AI40" s="114">
        <v>0</v>
      </c>
      <c r="AJ40" s="114">
        <v>0</v>
      </c>
      <c r="AK40" s="114">
        <v>0</v>
      </c>
      <c r="AL40" s="114">
        <v>0</v>
      </c>
      <c r="AM40" s="114">
        <v>0</v>
      </c>
      <c r="AN40" s="114">
        <v>155.902414459879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3">
      <c r="B41" s="113" t="s">
        <v>43</v>
      </c>
      <c r="C41" s="114" t="s">
        <v>85</v>
      </c>
      <c r="D41" s="114" t="s">
        <v>44</v>
      </c>
      <c r="E41" s="114" t="s">
        <v>86</v>
      </c>
      <c r="F41" s="114" t="s">
        <v>25</v>
      </c>
      <c r="G41" s="114" t="s">
        <v>25</v>
      </c>
      <c r="H41" s="114" t="s">
        <v>70</v>
      </c>
      <c r="I41" s="114" t="s">
        <v>25</v>
      </c>
      <c r="J41" s="114">
        <v>889.75</v>
      </c>
      <c r="K41" s="114">
        <v>159.29</v>
      </c>
      <c r="L41" s="114">
        <v>0</v>
      </c>
      <c r="M41" s="114">
        <v>2.4757555571829801</v>
      </c>
      <c r="N41" s="114">
        <v>0</v>
      </c>
      <c r="O41" s="114">
        <v>0</v>
      </c>
      <c r="P41" s="114">
        <v>0</v>
      </c>
      <c r="Q41" s="114">
        <v>87.051907770499298</v>
      </c>
      <c r="R41" s="114">
        <v>13.752245289787201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145.36865598028601</v>
      </c>
      <c r="Y41" s="114">
        <v>0</v>
      </c>
      <c r="Z41" s="114">
        <v>0</v>
      </c>
      <c r="AA41" s="114">
        <v>612.44034692371895</v>
      </c>
      <c r="AB41" s="114">
        <v>0</v>
      </c>
      <c r="AC41" s="114">
        <v>0</v>
      </c>
      <c r="AD41" s="114">
        <v>0</v>
      </c>
      <c r="AE41" s="114">
        <v>28.664168148385201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159.29159738292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3">
      <c r="B42" s="113" t="s">
        <v>43</v>
      </c>
      <c r="C42" s="114" t="s">
        <v>85</v>
      </c>
      <c r="D42" s="114" t="s">
        <v>44</v>
      </c>
      <c r="E42" s="114" t="s">
        <v>25</v>
      </c>
      <c r="F42" s="114" t="s">
        <v>25</v>
      </c>
      <c r="G42" s="114" t="s">
        <v>25</v>
      </c>
      <c r="H42" s="114" t="s">
        <v>70</v>
      </c>
      <c r="I42" s="114" t="s">
        <v>25</v>
      </c>
      <c r="J42" s="114">
        <v>889.75</v>
      </c>
      <c r="K42" s="114">
        <v>159.29</v>
      </c>
      <c r="L42" s="114">
        <v>0</v>
      </c>
      <c r="M42" s="114">
        <v>2.4757555571829801</v>
      </c>
      <c r="N42" s="114">
        <v>0</v>
      </c>
      <c r="O42" s="114">
        <v>0</v>
      </c>
      <c r="P42" s="114">
        <v>0</v>
      </c>
      <c r="Q42" s="114">
        <v>87.051907770499298</v>
      </c>
      <c r="R42" s="114">
        <v>13.752245289787201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145.36865598028601</v>
      </c>
      <c r="Y42" s="114">
        <v>0</v>
      </c>
      <c r="Z42" s="114">
        <v>0</v>
      </c>
      <c r="AA42" s="114">
        <v>612.44034692371895</v>
      </c>
      <c r="AB42" s="114">
        <v>0</v>
      </c>
      <c r="AC42" s="114">
        <v>0</v>
      </c>
      <c r="AD42" s="114">
        <v>0</v>
      </c>
      <c r="AE42" s="114">
        <v>28.664168148385201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159.29159738292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3">
      <c r="B43" s="113" t="s">
        <v>43</v>
      </c>
      <c r="C43" s="114" t="s">
        <v>85</v>
      </c>
      <c r="D43" s="114" t="s">
        <v>44</v>
      </c>
      <c r="E43" s="114" t="s">
        <v>87</v>
      </c>
      <c r="F43" s="114" t="s">
        <v>25</v>
      </c>
      <c r="G43" s="114" t="s">
        <v>25</v>
      </c>
      <c r="H43" s="114" t="s">
        <v>70</v>
      </c>
      <c r="I43" s="114" t="s">
        <v>25</v>
      </c>
      <c r="J43" s="114">
        <v>870.82</v>
      </c>
      <c r="K43" s="114">
        <v>155.9</v>
      </c>
      <c r="L43" s="114">
        <v>0</v>
      </c>
      <c r="M43" s="114">
        <v>2.4230799070301599</v>
      </c>
      <c r="N43" s="114">
        <v>0</v>
      </c>
      <c r="O43" s="114">
        <v>0</v>
      </c>
      <c r="P43" s="114">
        <v>0</v>
      </c>
      <c r="Q43" s="114">
        <v>85.199739520063204</v>
      </c>
      <c r="R43" s="114">
        <v>13.459644326174701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142.27570585304599</v>
      </c>
      <c r="Y43" s="114">
        <v>0</v>
      </c>
      <c r="Z43" s="114">
        <v>0</v>
      </c>
      <c r="AA43" s="114">
        <v>599.40970124449098</v>
      </c>
      <c r="AB43" s="114">
        <v>0</v>
      </c>
      <c r="AC43" s="114">
        <v>0</v>
      </c>
      <c r="AD43" s="114">
        <v>0</v>
      </c>
      <c r="AE43" s="114">
        <v>28.0542922303345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155.902414459879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3">
      <c r="B44" s="113" t="s">
        <v>35</v>
      </c>
      <c r="C44" s="114" t="s">
        <v>33</v>
      </c>
      <c r="D44" s="114" t="s">
        <v>25</v>
      </c>
      <c r="E44" s="114" t="s">
        <v>25</v>
      </c>
      <c r="F44" s="114" t="s">
        <v>25</v>
      </c>
      <c r="G44" s="114" t="s">
        <v>39</v>
      </c>
      <c r="H44" s="114" t="s">
        <v>70</v>
      </c>
      <c r="I44" s="114" t="s">
        <v>25</v>
      </c>
      <c r="J44" s="114">
        <v>2921.82</v>
      </c>
      <c r="K44" s="114">
        <v>169.46</v>
      </c>
      <c r="L44" s="114">
        <v>0</v>
      </c>
      <c r="M44" s="114">
        <v>2.6337825076414698</v>
      </c>
      <c r="N44" s="114">
        <v>0</v>
      </c>
      <c r="O44" s="114">
        <v>0</v>
      </c>
      <c r="P44" s="114">
        <v>0</v>
      </c>
      <c r="Q44" s="114">
        <v>92.608412521807793</v>
      </c>
      <c r="R44" s="114">
        <v>14.6300481806247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533.66766476311898</v>
      </c>
      <c r="Y44" s="114">
        <v>0</v>
      </c>
      <c r="Z44" s="114">
        <v>0</v>
      </c>
      <c r="AA44" s="114">
        <v>2247.7853700893402</v>
      </c>
      <c r="AB44" s="114">
        <v>0</v>
      </c>
      <c r="AC44" s="114">
        <v>0</v>
      </c>
      <c r="AD44" s="114">
        <v>0</v>
      </c>
      <c r="AE44" s="114">
        <v>30.493795902537499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169.459146152042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3">
      <c r="B45" s="113" t="s">
        <v>35</v>
      </c>
      <c r="C45" s="114" t="s">
        <v>33</v>
      </c>
      <c r="D45" s="114" t="s">
        <v>25</v>
      </c>
      <c r="E45" s="114" t="s">
        <v>25</v>
      </c>
      <c r="F45" s="114" t="s">
        <v>25</v>
      </c>
      <c r="G45" s="114" t="s">
        <v>42</v>
      </c>
      <c r="H45" s="114" t="s">
        <v>70</v>
      </c>
      <c r="I45" s="114" t="s">
        <v>25</v>
      </c>
      <c r="J45" s="114">
        <v>1809.18</v>
      </c>
      <c r="K45" s="114">
        <v>169.46</v>
      </c>
      <c r="L45" s="114">
        <v>0</v>
      </c>
      <c r="M45" s="114">
        <v>2.6337825076414698</v>
      </c>
      <c r="N45" s="114">
        <v>0</v>
      </c>
      <c r="O45" s="114">
        <v>0</v>
      </c>
      <c r="P45" s="114">
        <v>0</v>
      </c>
      <c r="Q45" s="114">
        <v>92.608412521807793</v>
      </c>
      <c r="R45" s="114">
        <v>14.6300481806247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320.13953803631102</v>
      </c>
      <c r="Y45" s="114">
        <v>0</v>
      </c>
      <c r="Z45" s="114">
        <v>0</v>
      </c>
      <c r="AA45" s="114">
        <v>1348.6710667339901</v>
      </c>
      <c r="AB45" s="114">
        <v>0</v>
      </c>
      <c r="AC45" s="114">
        <v>0</v>
      </c>
      <c r="AD45" s="114">
        <v>0</v>
      </c>
      <c r="AE45" s="114">
        <v>30.493795902537499</v>
      </c>
      <c r="AF45" s="114">
        <v>0</v>
      </c>
      <c r="AG45" s="114">
        <v>0</v>
      </c>
      <c r="AH45" s="114">
        <v>0</v>
      </c>
      <c r="AI45" s="114">
        <v>0</v>
      </c>
      <c r="AJ45" s="114">
        <v>0</v>
      </c>
      <c r="AK45" s="114">
        <v>0</v>
      </c>
      <c r="AL45" s="114">
        <v>0</v>
      </c>
      <c r="AM45" s="114">
        <v>0</v>
      </c>
      <c r="AN45" s="114">
        <v>169.459146152042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3">
      <c r="B46" s="113" t="s">
        <v>35</v>
      </c>
      <c r="C46" s="114" t="s">
        <v>33</v>
      </c>
      <c r="D46" s="114" t="s">
        <v>25</v>
      </c>
      <c r="E46" s="114" t="s">
        <v>25</v>
      </c>
      <c r="F46" s="114" t="s">
        <v>25</v>
      </c>
      <c r="G46" s="114" t="s">
        <v>34</v>
      </c>
      <c r="H46" s="114" t="s">
        <v>70</v>
      </c>
      <c r="I46" s="114" t="s">
        <v>25</v>
      </c>
      <c r="J46" s="114">
        <v>696.61</v>
      </c>
      <c r="K46" s="114">
        <v>169.46</v>
      </c>
      <c r="L46" s="114">
        <v>0</v>
      </c>
      <c r="M46" s="114">
        <v>2.6337825076414698</v>
      </c>
      <c r="N46" s="114">
        <v>0</v>
      </c>
      <c r="O46" s="114">
        <v>0</v>
      </c>
      <c r="P46" s="114">
        <v>0</v>
      </c>
      <c r="Q46" s="114">
        <v>92.608412521807793</v>
      </c>
      <c r="R46" s="114">
        <v>14.6300481806247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106.68770767223801</v>
      </c>
      <c r="Y46" s="114">
        <v>0</v>
      </c>
      <c r="Z46" s="114">
        <v>0</v>
      </c>
      <c r="AA46" s="114">
        <v>449.55753997671502</v>
      </c>
      <c r="AB46" s="114">
        <v>0</v>
      </c>
      <c r="AC46" s="114">
        <v>0</v>
      </c>
      <c r="AD46" s="114">
        <v>0</v>
      </c>
      <c r="AE46" s="114">
        <v>30.493795902537499</v>
      </c>
      <c r="AF46" s="114">
        <v>0</v>
      </c>
      <c r="AG46" s="114">
        <v>0</v>
      </c>
      <c r="AH46" s="114">
        <v>0</v>
      </c>
      <c r="AI46" s="114">
        <v>0</v>
      </c>
      <c r="AJ46" s="114">
        <v>0</v>
      </c>
      <c r="AK46" s="114">
        <v>0</v>
      </c>
      <c r="AL46" s="114">
        <v>0</v>
      </c>
      <c r="AM46" s="114">
        <v>0</v>
      </c>
      <c r="AN46" s="114">
        <v>169.459146152042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3">
      <c r="B47" s="113" t="s">
        <v>35</v>
      </c>
      <c r="C47" s="114" t="s">
        <v>23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70</v>
      </c>
      <c r="I47" s="114" t="s">
        <v>25</v>
      </c>
      <c r="J47" s="114">
        <v>946.55</v>
      </c>
      <c r="K47" s="114">
        <v>169.46</v>
      </c>
      <c r="L47" s="114">
        <v>0</v>
      </c>
      <c r="M47" s="114">
        <v>2.6337825076414698</v>
      </c>
      <c r="N47" s="114">
        <v>0</v>
      </c>
      <c r="O47" s="114">
        <v>0</v>
      </c>
      <c r="P47" s="114">
        <v>0</v>
      </c>
      <c r="Q47" s="114">
        <v>92.608412521807793</v>
      </c>
      <c r="R47" s="114">
        <v>14.6300481806247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154.647506362006</v>
      </c>
      <c r="Y47" s="114">
        <v>0</v>
      </c>
      <c r="Z47" s="114">
        <v>0</v>
      </c>
      <c r="AA47" s="114">
        <v>651.53228396140298</v>
      </c>
      <c r="AB47" s="114">
        <v>0</v>
      </c>
      <c r="AC47" s="114">
        <v>0</v>
      </c>
      <c r="AD47" s="114">
        <v>0</v>
      </c>
      <c r="AE47" s="114">
        <v>30.493795902537499</v>
      </c>
      <c r="AF47" s="114">
        <v>0</v>
      </c>
      <c r="AG47" s="114">
        <v>0</v>
      </c>
      <c r="AH47" s="114">
        <v>0</v>
      </c>
      <c r="AI47" s="114">
        <v>0</v>
      </c>
      <c r="AJ47" s="114">
        <v>0</v>
      </c>
      <c r="AK47" s="114">
        <v>0</v>
      </c>
      <c r="AL47" s="114">
        <v>0</v>
      </c>
      <c r="AM47" s="114">
        <v>0</v>
      </c>
      <c r="AN47" s="114">
        <v>169.459146152042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3">
      <c r="B48" s="113" t="s">
        <v>35</v>
      </c>
      <c r="C48" s="114" t="s">
        <v>85</v>
      </c>
      <c r="D48" s="114" t="s">
        <v>25</v>
      </c>
      <c r="E48" s="114" t="s">
        <v>25</v>
      </c>
      <c r="F48" s="114" t="s">
        <v>25</v>
      </c>
      <c r="G48" s="114" t="s">
        <v>25</v>
      </c>
      <c r="H48" s="114" t="s">
        <v>70</v>
      </c>
      <c r="I48" s="114" t="s">
        <v>25</v>
      </c>
      <c r="J48" s="114">
        <v>946.55</v>
      </c>
      <c r="K48" s="114">
        <v>169.46</v>
      </c>
      <c r="L48" s="114">
        <v>0</v>
      </c>
      <c r="M48" s="114">
        <v>2.6337825076414698</v>
      </c>
      <c r="N48" s="114">
        <v>0</v>
      </c>
      <c r="O48" s="114">
        <v>0</v>
      </c>
      <c r="P48" s="114">
        <v>0</v>
      </c>
      <c r="Q48" s="114">
        <v>92.608412521807793</v>
      </c>
      <c r="R48" s="114">
        <v>14.6300481806247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154.647506362006</v>
      </c>
      <c r="Y48" s="114">
        <v>0</v>
      </c>
      <c r="Z48" s="114">
        <v>0</v>
      </c>
      <c r="AA48" s="114">
        <v>651.53228396140298</v>
      </c>
      <c r="AB48" s="114">
        <v>0</v>
      </c>
      <c r="AC48" s="114">
        <v>0</v>
      </c>
      <c r="AD48" s="114">
        <v>0</v>
      </c>
      <c r="AE48" s="114">
        <v>30.493795902537499</v>
      </c>
      <c r="AF48" s="114">
        <v>0</v>
      </c>
      <c r="AG48" s="114">
        <v>0</v>
      </c>
      <c r="AH48" s="114">
        <v>0</v>
      </c>
      <c r="AI48" s="114">
        <v>0</v>
      </c>
      <c r="AJ48" s="114">
        <v>0</v>
      </c>
      <c r="AK48" s="114">
        <v>0</v>
      </c>
      <c r="AL48" s="114">
        <v>0</v>
      </c>
      <c r="AM48" s="114">
        <v>0</v>
      </c>
      <c r="AN48" s="114">
        <v>169.459146152042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3">
      <c r="B49" s="113" t="s">
        <v>46</v>
      </c>
      <c r="C49" s="114" t="s">
        <v>23</v>
      </c>
      <c r="D49" s="114" t="s">
        <v>47</v>
      </c>
      <c r="E49" s="114" t="s">
        <v>48</v>
      </c>
      <c r="F49" s="114" t="s">
        <v>25</v>
      </c>
      <c r="G49" s="114" t="s">
        <v>25</v>
      </c>
      <c r="H49" s="114" t="s">
        <v>70</v>
      </c>
      <c r="I49" s="114" t="s">
        <v>25</v>
      </c>
      <c r="J49" s="114">
        <v>520.6</v>
      </c>
      <c r="K49" s="114">
        <v>93.2</v>
      </c>
      <c r="L49" s="114">
        <v>0</v>
      </c>
      <c r="M49" s="114">
        <v>1.44858037920281</v>
      </c>
      <c r="N49" s="114">
        <v>0</v>
      </c>
      <c r="O49" s="114">
        <v>0</v>
      </c>
      <c r="P49" s="114">
        <v>0</v>
      </c>
      <c r="Q49" s="114">
        <v>50.934626886994302</v>
      </c>
      <c r="R49" s="114">
        <v>8.0465264993435603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85.056128499103394</v>
      </c>
      <c r="Y49" s="114">
        <v>0</v>
      </c>
      <c r="Z49" s="114">
        <v>0</v>
      </c>
      <c r="AA49" s="114">
        <v>358.34275617877199</v>
      </c>
      <c r="AB49" s="114">
        <v>0</v>
      </c>
      <c r="AC49" s="114">
        <v>0</v>
      </c>
      <c r="AD49" s="114">
        <v>0</v>
      </c>
      <c r="AE49" s="114">
        <v>16.7715877463956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93.202530383623198</v>
      </c>
      <c r="AO49" s="114">
        <v>0</v>
      </c>
      <c r="AP49" s="114">
        <v>0</v>
      </c>
      <c r="AQ49" s="114">
        <v>0</v>
      </c>
      <c r="AR49" s="114">
        <v>0</v>
      </c>
      <c r="AS49" s="114">
        <v>0</v>
      </c>
      <c r="AT49" s="115">
        <v>0</v>
      </c>
    </row>
    <row r="50" spans="2:46" ht="12" customHeight="1" x14ac:dyDescent="0.3">
      <c r="B50" s="116" t="s">
        <v>46</v>
      </c>
      <c r="C50" s="117" t="s">
        <v>23</v>
      </c>
      <c r="D50" s="117" t="s">
        <v>47</v>
      </c>
      <c r="E50" s="117" t="s">
        <v>49</v>
      </c>
      <c r="F50" s="117" t="s">
        <v>25</v>
      </c>
      <c r="G50" s="117" t="s">
        <v>25</v>
      </c>
      <c r="H50" s="117" t="s">
        <v>70</v>
      </c>
      <c r="I50" s="117" t="s">
        <v>25</v>
      </c>
      <c r="J50" s="117">
        <v>567.92999999999995</v>
      </c>
      <c r="K50" s="117">
        <v>101.68</v>
      </c>
      <c r="L50" s="117">
        <v>0</v>
      </c>
      <c r="M50" s="117">
        <v>1.58026950458488</v>
      </c>
      <c r="N50" s="117">
        <v>0</v>
      </c>
      <c r="O50" s="117">
        <v>0</v>
      </c>
      <c r="P50" s="117">
        <v>0</v>
      </c>
      <c r="Q50" s="117">
        <v>55.5650475130847</v>
      </c>
      <c r="R50" s="117">
        <v>8.7780289083747896</v>
      </c>
      <c r="S50" s="117">
        <v>0</v>
      </c>
      <c r="T50" s="117">
        <v>0</v>
      </c>
      <c r="U50" s="117">
        <v>0</v>
      </c>
      <c r="V50" s="117">
        <v>0</v>
      </c>
      <c r="W50" s="117">
        <v>0</v>
      </c>
      <c r="X50" s="117">
        <v>92.788503817203704</v>
      </c>
      <c r="Y50" s="117">
        <v>0</v>
      </c>
      <c r="Z50" s="117">
        <v>0</v>
      </c>
      <c r="AA50" s="117">
        <v>390.91937037684198</v>
      </c>
      <c r="AB50" s="117">
        <v>0</v>
      </c>
      <c r="AC50" s="117">
        <v>0</v>
      </c>
      <c r="AD50" s="117">
        <v>0</v>
      </c>
      <c r="AE50" s="117">
        <v>18.2962775415225</v>
      </c>
      <c r="AF50" s="117">
        <v>0</v>
      </c>
      <c r="AG50" s="117">
        <v>0</v>
      </c>
      <c r="AH50" s="117">
        <v>0</v>
      </c>
      <c r="AI50" s="117">
        <v>0</v>
      </c>
      <c r="AJ50" s="117">
        <v>0</v>
      </c>
      <c r="AK50" s="117">
        <v>0</v>
      </c>
      <c r="AL50" s="117">
        <v>0</v>
      </c>
      <c r="AM50" s="117">
        <v>0</v>
      </c>
      <c r="AN50" s="117">
        <v>101.675487691225</v>
      </c>
      <c r="AO50" s="117">
        <v>0</v>
      </c>
      <c r="AP50" s="117">
        <v>0</v>
      </c>
      <c r="AQ50" s="117">
        <v>0</v>
      </c>
      <c r="AR50" s="117">
        <v>0</v>
      </c>
      <c r="AS50" s="117">
        <v>0</v>
      </c>
      <c r="AT50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9EC2-71DC-4F27-9D1D-49480F0B1442}">
  <dimension ref="B1:AT50"/>
  <sheetViews>
    <sheetView showGridLines="0" tabSelected="1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0.88671875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9" t="s">
        <v>1181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3">
      <c r="L2" s="120" t="s">
        <v>500</v>
      </c>
      <c r="M2" s="120"/>
      <c r="N2" s="120"/>
      <c r="O2" s="120"/>
      <c r="P2" s="120"/>
      <c r="Q2" s="120"/>
      <c r="R2" s="120"/>
      <c r="S2" s="121"/>
      <c r="T2" s="120" t="s">
        <v>509</v>
      </c>
      <c r="U2" s="120"/>
      <c r="V2" s="120"/>
      <c r="W2" s="120"/>
      <c r="X2" s="120"/>
      <c r="Y2" s="120"/>
      <c r="Z2" s="121"/>
      <c r="AA2" s="122" t="s">
        <v>517</v>
      </c>
      <c r="AB2" s="120" t="s">
        <v>25</v>
      </c>
      <c r="AC2" s="120"/>
      <c r="AD2" s="121"/>
      <c r="AE2" s="120" t="s">
        <v>1180</v>
      </c>
      <c r="AF2" s="120"/>
      <c r="AG2" s="120"/>
      <c r="AH2" s="121"/>
      <c r="AI2" s="120" t="s">
        <v>500</v>
      </c>
      <c r="AJ2" s="120"/>
      <c r="AK2" s="120"/>
      <c r="AL2" s="120"/>
      <c r="AM2" s="121"/>
      <c r="AN2" s="122" t="s">
        <v>531</v>
      </c>
      <c r="AO2" s="120" t="s">
        <v>509</v>
      </c>
      <c r="AP2" s="120"/>
      <c r="AQ2" s="120"/>
      <c r="AR2" s="120"/>
      <c r="AS2" s="121"/>
      <c r="AT2" s="123" t="s">
        <v>1180</v>
      </c>
    </row>
    <row r="3" spans="2:46" ht="12" customHeight="1" x14ac:dyDescent="0.3">
      <c r="B3" s="110" t="s">
        <v>60</v>
      </c>
      <c r="C3" s="111" t="s">
        <v>61</v>
      </c>
      <c r="D3" s="111" t="s">
        <v>62</v>
      </c>
      <c r="E3" s="111" t="s">
        <v>63</v>
      </c>
      <c r="F3" s="111" t="s">
        <v>64</v>
      </c>
      <c r="G3" s="111" t="s">
        <v>66</v>
      </c>
      <c r="H3" s="111" t="s">
        <v>67</v>
      </c>
      <c r="I3" s="111" t="s">
        <v>777</v>
      </c>
      <c r="J3" s="111" t="s">
        <v>1142</v>
      </c>
      <c r="K3" s="111" t="s">
        <v>1143</v>
      </c>
      <c r="L3" s="111" t="s">
        <v>1144</v>
      </c>
      <c r="M3" s="111" t="s">
        <v>1145</v>
      </c>
      <c r="N3" s="111" t="s">
        <v>1146</v>
      </c>
      <c r="O3" s="111" t="s">
        <v>1147</v>
      </c>
      <c r="P3" s="111" t="s">
        <v>1148</v>
      </c>
      <c r="Q3" s="111" t="s">
        <v>1149</v>
      </c>
      <c r="R3" s="111" t="s">
        <v>1150</v>
      </c>
      <c r="S3" s="111" t="s">
        <v>1151</v>
      </c>
      <c r="T3" s="111" t="s">
        <v>1152</v>
      </c>
      <c r="U3" s="111" t="s">
        <v>1153</v>
      </c>
      <c r="V3" s="111" t="s">
        <v>1154</v>
      </c>
      <c r="W3" s="111" t="s">
        <v>1155</v>
      </c>
      <c r="X3" s="111" t="s">
        <v>1156</v>
      </c>
      <c r="Y3" s="111" t="s">
        <v>1157</v>
      </c>
      <c r="Z3" s="111" t="s">
        <v>1158</v>
      </c>
      <c r="AA3" s="111" t="s">
        <v>1159</v>
      </c>
      <c r="AB3" s="111" t="s">
        <v>1160</v>
      </c>
      <c r="AC3" s="111" t="s">
        <v>1161</v>
      </c>
      <c r="AD3" s="111" t="s">
        <v>1162</v>
      </c>
      <c r="AE3" s="111" t="s">
        <v>1163</v>
      </c>
      <c r="AF3" s="111" t="s">
        <v>1164</v>
      </c>
      <c r="AG3" s="111" t="s">
        <v>1165</v>
      </c>
      <c r="AH3" s="111" t="s">
        <v>1166</v>
      </c>
      <c r="AI3" s="111" t="s">
        <v>1167</v>
      </c>
      <c r="AJ3" s="111" t="s">
        <v>1168</v>
      </c>
      <c r="AK3" s="111" t="s">
        <v>1169</v>
      </c>
      <c r="AL3" s="111" t="s">
        <v>1170</v>
      </c>
      <c r="AM3" s="111" t="s">
        <v>1171</v>
      </c>
      <c r="AN3" s="111" t="s">
        <v>1172</v>
      </c>
      <c r="AO3" s="111" t="s">
        <v>1173</v>
      </c>
      <c r="AP3" s="111" t="s">
        <v>1174</v>
      </c>
      <c r="AQ3" s="111" t="s">
        <v>1175</v>
      </c>
      <c r="AR3" s="111" t="s">
        <v>1176</v>
      </c>
      <c r="AS3" s="111" t="s">
        <v>1177</v>
      </c>
      <c r="AT3" s="112" t="s">
        <v>1178</v>
      </c>
    </row>
    <row r="4" spans="2:46" ht="12" customHeight="1" x14ac:dyDescent="0.3">
      <c r="B4" s="113" t="s">
        <v>37</v>
      </c>
      <c r="C4" s="114" t="s">
        <v>41</v>
      </c>
      <c r="D4" s="114" t="s">
        <v>25</v>
      </c>
      <c r="E4" s="114" t="s">
        <v>25</v>
      </c>
      <c r="F4" s="114" t="s">
        <v>78</v>
      </c>
      <c r="G4" s="114" t="s">
        <v>39</v>
      </c>
      <c r="H4" s="114" t="s">
        <v>70</v>
      </c>
      <c r="I4" s="114" t="s">
        <v>25</v>
      </c>
      <c r="J4" s="114">
        <v>0</v>
      </c>
      <c r="K4" s="114">
        <v>0</v>
      </c>
      <c r="L4" s="114">
        <v>0</v>
      </c>
      <c r="M4" s="114">
        <v>0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0</v>
      </c>
      <c r="AF4" s="114">
        <v>0</v>
      </c>
      <c r="AG4" s="114">
        <v>0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3">
      <c r="B5" s="113" t="s">
        <v>37</v>
      </c>
      <c r="C5" s="114" t="s">
        <v>41</v>
      </c>
      <c r="D5" s="114" t="s">
        <v>25</v>
      </c>
      <c r="E5" s="114" t="s">
        <v>25</v>
      </c>
      <c r="F5" s="114" t="s">
        <v>78</v>
      </c>
      <c r="G5" s="114" t="s">
        <v>39</v>
      </c>
      <c r="H5" s="114" t="s">
        <v>75</v>
      </c>
      <c r="I5" s="114" t="s">
        <v>25</v>
      </c>
      <c r="J5" s="114">
        <v>0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0</v>
      </c>
      <c r="Y5" s="114">
        <v>0</v>
      </c>
      <c r="Z5" s="114">
        <v>0</v>
      </c>
      <c r="AA5" s="114">
        <v>0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3">
      <c r="B6" s="113" t="s">
        <v>37</v>
      </c>
      <c r="C6" s="114" t="s">
        <v>41</v>
      </c>
      <c r="D6" s="114" t="s">
        <v>25</v>
      </c>
      <c r="E6" s="114" t="s">
        <v>25</v>
      </c>
      <c r="F6" s="114" t="s">
        <v>78</v>
      </c>
      <c r="G6" s="114" t="s">
        <v>34</v>
      </c>
      <c r="H6" s="114" t="s">
        <v>70</v>
      </c>
      <c r="I6" s="114" t="s">
        <v>25</v>
      </c>
      <c r="J6" s="114">
        <v>0</v>
      </c>
      <c r="K6" s="114">
        <v>0</v>
      </c>
      <c r="L6" s="114">
        <v>0</v>
      </c>
      <c r="M6" s="114">
        <v>0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0</v>
      </c>
      <c r="AF6" s="114">
        <v>0</v>
      </c>
      <c r="AG6" s="114">
        <v>0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3">
      <c r="B7" s="113" t="s">
        <v>37</v>
      </c>
      <c r="C7" s="114" t="s">
        <v>41</v>
      </c>
      <c r="D7" s="114" t="s">
        <v>25</v>
      </c>
      <c r="E7" s="114" t="s">
        <v>25</v>
      </c>
      <c r="F7" s="114" t="s">
        <v>78</v>
      </c>
      <c r="G7" s="114" t="s">
        <v>34</v>
      </c>
      <c r="H7" s="114" t="s">
        <v>75</v>
      </c>
      <c r="I7" s="114" t="s">
        <v>25</v>
      </c>
      <c r="J7" s="114">
        <v>0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0</v>
      </c>
      <c r="Y7" s="114">
        <v>0</v>
      </c>
      <c r="Z7" s="114">
        <v>0</v>
      </c>
      <c r="AA7" s="114">
        <v>0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3">
      <c r="B8" s="113" t="s">
        <v>37</v>
      </c>
      <c r="C8" s="114" t="s">
        <v>41</v>
      </c>
      <c r="D8" s="114" t="s">
        <v>25</v>
      </c>
      <c r="E8" s="114" t="s">
        <v>25</v>
      </c>
      <c r="F8" s="114" t="s">
        <v>25</v>
      </c>
      <c r="G8" s="114" t="s">
        <v>39</v>
      </c>
      <c r="H8" s="114" t="s">
        <v>70</v>
      </c>
      <c r="I8" s="114" t="s">
        <v>25</v>
      </c>
      <c r="J8" s="114">
        <v>0</v>
      </c>
      <c r="K8" s="114">
        <v>0</v>
      </c>
      <c r="L8" s="114">
        <v>0</v>
      </c>
      <c r="M8" s="114">
        <v>0</v>
      </c>
      <c r="N8" s="114">
        <v>0</v>
      </c>
      <c r="O8" s="114">
        <v>0</v>
      </c>
      <c r="P8" s="114">
        <v>0</v>
      </c>
      <c r="Q8" s="114">
        <v>0</v>
      </c>
      <c r="R8" s="114">
        <v>0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0</v>
      </c>
      <c r="AF8" s="114">
        <v>0</v>
      </c>
      <c r="AG8" s="114">
        <v>0</v>
      </c>
      <c r="AH8" s="114">
        <v>0</v>
      </c>
      <c r="AI8" s="114">
        <v>0</v>
      </c>
      <c r="AJ8" s="114">
        <v>0</v>
      </c>
      <c r="AK8" s="114">
        <v>0</v>
      </c>
      <c r="AL8" s="114">
        <v>0</v>
      </c>
      <c r="AM8" s="114">
        <v>0</v>
      </c>
      <c r="AN8" s="114">
        <v>0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3">
      <c r="B9" s="113" t="s">
        <v>37</v>
      </c>
      <c r="C9" s="114" t="s">
        <v>41</v>
      </c>
      <c r="D9" s="114" t="s">
        <v>25</v>
      </c>
      <c r="E9" s="114" t="s">
        <v>25</v>
      </c>
      <c r="F9" s="114" t="s">
        <v>25</v>
      </c>
      <c r="G9" s="114" t="s">
        <v>39</v>
      </c>
      <c r="H9" s="114" t="s">
        <v>75</v>
      </c>
      <c r="I9" s="114" t="s">
        <v>25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0</v>
      </c>
      <c r="Z9" s="114">
        <v>0</v>
      </c>
      <c r="AA9" s="114">
        <v>0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3">
      <c r="B10" s="113" t="s">
        <v>37</v>
      </c>
      <c r="C10" s="114" t="s">
        <v>41</v>
      </c>
      <c r="D10" s="114" t="s">
        <v>25</v>
      </c>
      <c r="E10" s="114" t="s">
        <v>25</v>
      </c>
      <c r="F10" s="114" t="s">
        <v>25</v>
      </c>
      <c r="G10" s="114" t="s">
        <v>34</v>
      </c>
      <c r="H10" s="114" t="s">
        <v>70</v>
      </c>
      <c r="I10" s="114" t="s">
        <v>25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4">
        <v>0</v>
      </c>
      <c r="P10" s="114">
        <v>0</v>
      </c>
      <c r="Q10" s="114">
        <v>0</v>
      </c>
      <c r="R10" s="114">
        <v>0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0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0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3">
      <c r="B11" s="113" t="s">
        <v>37</v>
      </c>
      <c r="C11" s="114" t="s">
        <v>41</v>
      </c>
      <c r="D11" s="114" t="s">
        <v>25</v>
      </c>
      <c r="E11" s="114" t="s">
        <v>25</v>
      </c>
      <c r="F11" s="114" t="s">
        <v>25</v>
      </c>
      <c r="G11" s="114" t="s">
        <v>34</v>
      </c>
      <c r="H11" s="114" t="s">
        <v>75</v>
      </c>
      <c r="I11" s="114" t="s">
        <v>25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0</v>
      </c>
      <c r="Y11" s="114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3">
      <c r="B12" s="113" t="s">
        <v>37</v>
      </c>
      <c r="C12" s="114" t="s">
        <v>23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70</v>
      </c>
      <c r="I12" s="114" t="s">
        <v>25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3">
      <c r="B13" s="113" t="s">
        <v>37</v>
      </c>
      <c r="C13" s="114" t="s">
        <v>79</v>
      </c>
      <c r="D13" s="114" t="s">
        <v>25</v>
      </c>
      <c r="E13" s="114" t="s">
        <v>25</v>
      </c>
      <c r="F13" s="114" t="s">
        <v>25</v>
      </c>
      <c r="G13" s="114" t="s">
        <v>25</v>
      </c>
      <c r="H13" s="114" t="s">
        <v>75</v>
      </c>
      <c r="I13" s="114" t="s">
        <v>25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3">
      <c r="B14" s="113" t="s">
        <v>37</v>
      </c>
      <c r="C14" s="114" t="s">
        <v>38</v>
      </c>
      <c r="D14" s="114" t="s">
        <v>25</v>
      </c>
      <c r="E14" s="114" t="s">
        <v>25</v>
      </c>
      <c r="F14" s="114" t="s">
        <v>78</v>
      </c>
      <c r="G14" s="114" t="s">
        <v>39</v>
      </c>
      <c r="H14" s="114" t="s">
        <v>70</v>
      </c>
      <c r="I14" s="114" t="s">
        <v>25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0</v>
      </c>
      <c r="Y14" s="114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3">
      <c r="B15" s="113" t="s">
        <v>37</v>
      </c>
      <c r="C15" s="114" t="s">
        <v>38</v>
      </c>
      <c r="D15" s="114" t="s">
        <v>25</v>
      </c>
      <c r="E15" s="114" t="s">
        <v>25</v>
      </c>
      <c r="F15" s="114" t="s">
        <v>78</v>
      </c>
      <c r="G15" s="114" t="s">
        <v>25</v>
      </c>
      <c r="H15" s="114" t="s">
        <v>75</v>
      </c>
      <c r="I15" s="114" t="s">
        <v>25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3">
      <c r="B16" s="113" t="s">
        <v>37</v>
      </c>
      <c r="C16" s="114" t="s">
        <v>38</v>
      </c>
      <c r="D16" s="114" t="s">
        <v>25</v>
      </c>
      <c r="E16" s="114" t="s">
        <v>25</v>
      </c>
      <c r="F16" s="114" t="s">
        <v>78</v>
      </c>
      <c r="G16" s="114" t="s">
        <v>34</v>
      </c>
      <c r="H16" s="114" t="s">
        <v>70</v>
      </c>
      <c r="I16" s="114" t="s">
        <v>25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3">
      <c r="B17" s="113" t="s">
        <v>37</v>
      </c>
      <c r="C17" s="114" t="s">
        <v>38</v>
      </c>
      <c r="D17" s="114" t="s">
        <v>25</v>
      </c>
      <c r="E17" s="114" t="s">
        <v>25</v>
      </c>
      <c r="F17" s="114" t="s">
        <v>25</v>
      </c>
      <c r="G17" s="114" t="s">
        <v>39</v>
      </c>
      <c r="H17" s="114" t="s">
        <v>70</v>
      </c>
      <c r="I17" s="114" t="s">
        <v>25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4">
        <v>0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3">
      <c r="B18" s="113" t="s">
        <v>37</v>
      </c>
      <c r="C18" s="114" t="s">
        <v>38</v>
      </c>
      <c r="D18" s="114" t="s">
        <v>25</v>
      </c>
      <c r="E18" s="114" t="s">
        <v>25</v>
      </c>
      <c r="F18" s="114" t="s">
        <v>25</v>
      </c>
      <c r="G18" s="114" t="s">
        <v>25</v>
      </c>
      <c r="H18" s="114" t="s">
        <v>75</v>
      </c>
      <c r="I18" s="114" t="s">
        <v>25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3">
      <c r="B19" s="113" t="s">
        <v>37</v>
      </c>
      <c r="C19" s="114" t="s">
        <v>38</v>
      </c>
      <c r="D19" s="114" t="s">
        <v>25</v>
      </c>
      <c r="E19" s="114" t="s">
        <v>25</v>
      </c>
      <c r="F19" s="114" t="s">
        <v>25</v>
      </c>
      <c r="G19" s="114" t="s">
        <v>34</v>
      </c>
      <c r="H19" s="114" t="s">
        <v>70</v>
      </c>
      <c r="I19" s="114" t="s">
        <v>25</v>
      </c>
      <c r="J19" s="114">
        <v>0</v>
      </c>
      <c r="K19" s="114">
        <v>0</v>
      </c>
      <c r="L19" s="114">
        <v>0</v>
      </c>
      <c r="M19" s="114">
        <v>0</v>
      </c>
      <c r="N19" s="114">
        <v>0</v>
      </c>
      <c r="O19" s="114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0</v>
      </c>
      <c r="AB19" s="114">
        <v>0</v>
      </c>
      <c r="AC19" s="114">
        <v>0</v>
      </c>
      <c r="AD19" s="114">
        <v>0</v>
      </c>
      <c r="AE19" s="114">
        <v>0</v>
      </c>
      <c r="AF19" s="114">
        <v>0</v>
      </c>
      <c r="AG19" s="114">
        <v>0</v>
      </c>
      <c r="AH19" s="114">
        <v>0</v>
      </c>
      <c r="AI19" s="114">
        <v>0</v>
      </c>
      <c r="AJ19" s="114">
        <v>0</v>
      </c>
      <c r="AK19" s="114">
        <v>0</v>
      </c>
      <c r="AL19" s="114">
        <v>0</v>
      </c>
      <c r="AM19" s="114">
        <v>0</v>
      </c>
      <c r="AN19" s="114">
        <v>0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3">
      <c r="B20" s="113" t="s">
        <v>80</v>
      </c>
      <c r="C20" s="114" t="s">
        <v>79</v>
      </c>
      <c r="D20" s="114" t="s">
        <v>25</v>
      </c>
      <c r="E20" s="114" t="s">
        <v>25</v>
      </c>
      <c r="F20" s="114" t="s">
        <v>81</v>
      </c>
      <c r="G20" s="114" t="s">
        <v>25</v>
      </c>
      <c r="H20" s="114" t="s">
        <v>75</v>
      </c>
      <c r="I20" s="114" t="s">
        <v>25</v>
      </c>
      <c r="J20" s="114">
        <v>0</v>
      </c>
      <c r="K20" s="114">
        <v>0</v>
      </c>
      <c r="L20" s="114">
        <v>0</v>
      </c>
      <c r="M20" s="114">
        <v>0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0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3">
      <c r="B21" s="113" t="s">
        <v>80</v>
      </c>
      <c r="C21" s="114" t="s">
        <v>79</v>
      </c>
      <c r="D21" s="114" t="s">
        <v>25</v>
      </c>
      <c r="E21" s="114" t="s">
        <v>25</v>
      </c>
      <c r="F21" s="114" t="s">
        <v>82</v>
      </c>
      <c r="G21" s="114" t="s">
        <v>25</v>
      </c>
      <c r="H21" s="114" t="s">
        <v>75</v>
      </c>
      <c r="I21" s="114" t="s">
        <v>25</v>
      </c>
      <c r="J21" s="114">
        <v>0</v>
      </c>
      <c r="K21" s="114">
        <v>0</v>
      </c>
      <c r="L21" s="114">
        <v>0</v>
      </c>
      <c r="M21" s="114">
        <v>0</v>
      </c>
      <c r="N21" s="114">
        <v>0</v>
      </c>
      <c r="O21" s="114">
        <v>0</v>
      </c>
      <c r="P21" s="114">
        <v>0</v>
      </c>
      <c r="Q21" s="114">
        <v>0</v>
      </c>
      <c r="R21" s="114">
        <v>0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  <c r="AA21" s="114">
        <v>0</v>
      </c>
      <c r="AB21" s="114">
        <v>0</v>
      </c>
      <c r="AC21" s="114">
        <v>0</v>
      </c>
      <c r="AD21" s="114">
        <v>0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3">
      <c r="B22" s="113" t="s">
        <v>22</v>
      </c>
      <c r="C22" s="114" t="s">
        <v>33</v>
      </c>
      <c r="D22" s="114" t="s">
        <v>24</v>
      </c>
      <c r="E22" s="114" t="s">
        <v>24</v>
      </c>
      <c r="F22" s="114" t="s">
        <v>25</v>
      </c>
      <c r="G22" s="114" t="s">
        <v>39</v>
      </c>
      <c r="H22" s="114" t="s">
        <v>70</v>
      </c>
      <c r="I22" s="114" t="s">
        <v>25</v>
      </c>
      <c r="J22" s="114">
        <v>0</v>
      </c>
      <c r="K22" s="114">
        <v>0</v>
      </c>
      <c r="L22" s="114">
        <v>0</v>
      </c>
      <c r="M22" s="114">
        <v>0</v>
      </c>
      <c r="N22" s="114">
        <v>0</v>
      </c>
      <c r="O22" s="114">
        <v>0</v>
      </c>
      <c r="P22" s="114">
        <v>0</v>
      </c>
      <c r="Q22" s="114">
        <v>0</v>
      </c>
      <c r="R22" s="114">
        <v>0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0</v>
      </c>
      <c r="Y22" s="114">
        <v>0</v>
      </c>
      <c r="Z22" s="114">
        <v>0</v>
      </c>
      <c r="AA22" s="114">
        <v>0</v>
      </c>
      <c r="AB22" s="114">
        <v>0</v>
      </c>
      <c r="AC22" s="114">
        <v>0</v>
      </c>
      <c r="AD22" s="114">
        <v>0</v>
      </c>
      <c r="AE22" s="114">
        <v>0</v>
      </c>
      <c r="AF22" s="114">
        <v>0</v>
      </c>
      <c r="AG22" s="114">
        <v>0</v>
      </c>
      <c r="AH22" s="114">
        <v>0</v>
      </c>
      <c r="AI22" s="114">
        <v>0</v>
      </c>
      <c r="AJ22" s="114">
        <v>0</v>
      </c>
      <c r="AK22" s="114">
        <v>0</v>
      </c>
      <c r="AL22" s="114">
        <v>0</v>
      </c>
      <c r="AM22" s="114">
        <v>0</v>
      </c>
      <c r="AN22" s="114">
        <v>0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3">
      <c r="B23" s="113" t="s">
        <v>22</v>
      </c>
      <c r="C23" s="114" t="s">
        <v>33</v>
      </c>
      <c r="D23" s="114" t="s">
        <v>24</v>
      </c>
      <c r="E23" s="114" t="s">
        <v>24</v>
      </c>
      <c r="F23" s="114" t="s">
        <v>25</v>
      </c>
      <c r="G23" s="114" t="s">
        <v>42</v>
      </c>
      <c r="H23" s="114" t="s">
        <v>70</v>
      </c>
      <c r="I23" s="114" t="s">
        <v>25</v>
      </c>
      <c r="J23" s="114">
        <v>0</v>
      </c>
      <c r="K23" s="114">
        <v>0</v>
      </c>
      <c r="L23" s="114">
        <v>0</v>
      </c>
      <c r="M23" s="114">
        <v>0</v>
      </c>
      <c r="N23" s="114">
        <v>0</v>
      </c>
      <c r="O23" s="114">
        <v>0</v>
      </c>
      <c r="P23" s="114">
        <v>0</v>
      </c>
      <c r="Q23" s="114">
        <v>0</v>
      </c>
      <c r="R23" s="114">
        <v>0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0</v>
      </c>
      <c r="Y23" s="114">
        <v>0</v>
      </c>
      <c r="Z23" s="114">
        <v>0</v>
      </c>
      <c r="AA23" s="114">
        <v>0</v>
      </c>
      <c r="AB23" s="114">
        <v>0</v>
      </c>
      <c r="AC23" s="114">
        <v>0</v>
      </c>
      <c r="AD23" s="114">
        <v>0</v>
      </c>
      <c r="AE23" s="114">
        <v>0</v>
      </c>
      <c r="AF23" s="114">
        <v>0</v>
      </c>
      <c r="AG23" s="114">
        <v>0</v>
      </c>
      <c r="AH23" s="114">
        <v>0</v>
      </c>
      <c r="AI23" s="114">
        <v>0</v>
      </c>
      <c r="AJ23" s="114">
        <v>0</v>
      </c>
      <c r="AK23" s="114">
        <v>0</v>
      </c>
      <c r="AL23" s="114">
        <v>0</v>
      </c>
      <c r="AM23" s="114">
        <v>0</v>
      </c>
      <c r="AN23" s="114">
        <v>0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3">
      <c r="B24" s="113" t="s">
        <v>22</v>
      </c>
      <c r="C24" s="114" t="s">
        <v>33</v>
      </c>
      <c r="D24" s="114" t="s">
        <v>24</v>
      </c>
      <c r="E24" s="114" t="s">
        <v>24</v>
      </c>
      <c r="F24" s="114" t="s">
        <v>25</v>
      </c>
      <c r="G24" s="114" t="s">
        <v>34</v>
      </c>
      <c r="H24" s="114" t="s">
        <v>70</v>
      </c>
      <c r="I24" s="114" t="s">
        <v>25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0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0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3">
      <c r="B25" s="113" t="s">
        <v>22</v>
      </c>
      <c r="C25" s="114" t="s">
        <v>23</v>
      </c>
      <c r="D25" s="114" t="s">
        <v>24</v>
      </c>
      <c r="E25" s="114" t="s">
        <v>1179</v>
      </c>
      <c r="F25" s="114" t="s">
        <v>25</v>
      </c>
      <c r="G25" s="114" t="s">
        <v>25</v>
      </c>
      <c r="H25" s="114" t="s">
        <v>70</v>
      </c>
      <c r="I25" s="114" t="s">
        <v>25</v>
      </c>
      <c r="J25" s="114">
        <v>0</v>
      </c>
      <c r="K25" s="114">
        <v>0</v>
      </c>
      <c r="L25" s="114">
        <v>0</v>
      </c>
      <c r="M25" s="114">
        <v>0</v>
      </c>
      <c r="N25" s="114">
        <v>0</v>
      </c>
      <c r="O25" s="114">
        <v>0</v>
      </c>
      <c r="P25" s="114">
        <v>0</v>
      </c>
      <c r="Q25" s="114">
        <v>0</v>
      </c>
      <c r="R25" s="114">
        <v>0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0</v>
      </c>
      <c r="Y25" s="114">
        <v>0</v>
      </c>
      <c r="Z25" s="114">
        <v>0</v>
      </c>
      <c r="AA25" s="114">
        <v>0</v>
      </c>
      <c r="AB25" s="114">
        <v>0</v>
      </c>
      <c r="AC25" s="114">
        <v>0</v>
      </c>
      <c r="AD25" s="114">
        <v>0</v>
      </c>
      <c r="AE25" s="114">
        <v>0</v>
      </c>
      <c r="AF25" s="114">
        <v>0</v>
      </c>
      <c r="AG25" s="114">
        <v>0</v>
      </c>
      <c r="AH25" s="114">
        <v>0</v>
      </c>
      <c r="AI25" s="114">
        <v>0</v>
      </c>
      <c r="AJ25" s="114">
        <v>0</v>
      </c>
      <c r="AK25" s="114">
        <v>0</v>
      </c>
      <c r="AL25" s="114">
        <v>0</v>
      </c>
      <c r="AM25" s="114">
        <v>0</v>
      </c>
      <c r="AN25" s="114">
        <v>0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3">
      <c r="B26" s="113" t="s">
        <v>22</v>
      </c>
      <c r="C26" s="114" t="s">
        <v>23</v>
      </c>
      <c r="D26" s="114" t="s">
        <v>24</v>
      </c>
      <c r="E26" s="114" t="s">
        <v>24</v>
      </c>
      <c r="F26" s="114" t="s">
        <v>25</v>
      </c>
      <c r="G26" s="114" t="s">
        <v>25</v>
      </c>
      <c r="H26" s="114" t="s">
        <v>70</v>
      </c>
      <c r="I26" s="114" t="s">
        <v>25</v>
      </c>
      <c r="J26" s="114">
        <v>0</v>
      </c>
      <c r="K26" s="114">
        <v>0</v>
      </c>
      <c r="L26" s="114">
        <v>0</v>
      </c>
      <c r="M26" s="114">
        <v>0</v>
      </c>
      <c r="N26" s="114">
        <v>0</v>
      </c>
      <c r="O26" s="114">
        <v>0</v>
      </c>
      <c r="P26" s="114">
        <v>0</v>
      </c>
      <c r="Q26" s="114">
        <v>0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0</v>
      </c>
      <c r="Y26" s="114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  <c r="AE26" s="114">
        <v>0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4">
        <v>0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3">
      <c r="B27" s="113" t="s">
        <v>22</v>
      </c>
      <c r="C27" s="114" t="s">
        <v>85</v>
      </c>
      <c r="D27" s="114" t="s">
        <v>24</v>
      </c>
      <c r="E27" s="114" t="s">
        <v>1179</v>
      </c>
      <c r="F27" s="114" t="s">
        <v>25</v>
      </c>
      <c r="G27" s="114" t="s">
        <v>25</v>
      </c>
      <c r="H27" s="114" t="s">
        <v>70</v>
      </c>
      <c r="I27" s="114" t="s">
        <v>25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3">
      <c r="B28" s="113" t="s">
        <v>22</v>
      </c>
      <c r="C28" s="114" t="s">
        <v>85</v>
      </c>
      <c r="D28" s="114" t="s">
        <v>24</v>
      </c>
      <c r="E28" s="114" t="s">
        <v>24</v>
      </c>
      <c r="F28" s="114" t="s">
        <v>25</v>
      </c>
      <c r="G28" s="114" t="s">
        <v>25</v>
      </c>
      <c r="H28" s="114" t="s">
        <v>70</v>
      </c>
      <c r="I28" s="114" t="s">
        <v>25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4">
        <v>0</v>
      </c>
      <c r="P28" s="114">
        <v>0</v>
      </c>
      <c r="Q28" s="114">
        <v>0</v>
      </c>
      <c r="R28" s="114">
        <v>0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0</v>
      </c>
      <c r="Y28" s="114">
        <v>0</v>
      </c>
      <c r="Z28" s="114">
        <v>0</v>
      </c>
      <c r="AA28" s="114">
        <v>0</v>
      </c>
      <c r="AB28" s="114">
        <v>0</v>
      </c>
      <c r="AC28" s="114">
        <v>0</v>
      </c>
      <c r="AD28" s="114">
        <v>0</v>
      </c>
      <c r="AE28" s="114">
        <v>0</v>
      </c>
      <c r="AF28" s="114">
        <v>0</v>
      </c>
      <c r="AG28" s="114">
        <v>0</v>
      </c>
      <c r="AH28" s="114">
        <v>0</v>
      </c>
      <c r="AI28" s="114">
        <v>0</v>
      </c>
      <c r="AJ28" s="114">
        <v>0</v>
      </c>
      <c r="AK28" s="114">
        <v>0</v>
      </c>
      <c r="AL28" s="114">
        <v>0</v>
      </c>
      <c r="AM28" s="114">
        <v>0</v>
      </c>
      <c r="AN28" s="114">
        <v>0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3">
      <c r="B29" s="113" t="s">
        <v>43</v>
      </c>
      <c r="C29" s="114" t="s">
        <v>33</v>
      </c>
      <c r="D29" s="114" t="s">
        <v>44</v>
      </c>
      <c r="E29" s="114" t="s">
        <v>86</v>
      </c>
      <c r="F29" s="114" t="s">
        <v>25</v>
      </c>
      <c r="G29" s="114" t="s">
        <v>39</v>
      </c>
      <c r="H29" s="114" t="s">
        <v>70</v>
      </c>
      <c r="I29" s="114" t="s">
        <v>25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4">
        <v>0</v>
      </c>
      <c r="P29" s="114">
        <v>0</v>
      </c>
      <c r="Q29" s="114">
        <v>0</v>
      </c>
      <c r="R29" s="114">
        <v>0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0</v>
      </c>
      <c r="Y29" s="114">
        <v>0</v>
      </c>
      <c r="Z29" s="114">
        <v>0</v>
      </c>
      <c r="AA29" s="114">
        <v>0</v>
      </c>
      <c r="AB29" s="114">
        <v>0</v>
      </c>
      <c r="AC29" s="114">
        <v>0</v>
      </c>
      <c r="AD29" s="114">
        <v>0</v>
      </c>
      <c r="AE29" s="114">
        <v>0</v>
      </c>
      <c r="AF29" s="114">
        <v>0</v>
      </c>
      <c r="AG29" s="114">
        <v>0</v>
      </c>
      <c r="AH29" s="114">
        <v>0</v>
      </c>
      <c r="AI29" s="114">
        <v>0</v>
      </c>
      <c r="AJ29" s="114">
        <v>0</v>
      </c>
      <c r="AK29" s="114">
        <v>0</v>
      </c>
      <c r="AL29" s="114">
        <v>0</v>
      </c>
      <c r="AM29" s="114">
        <v>0</v>
      </c>
      <c r="AN29" s="114">
        <v>0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3">
      <c r="B30" s="113" t="s">
        <v>43</v>
      </c>
      <c r="C30" s="114" t="s">
        <v>33</v>
      </c>
      <c r="D30" s="114" t="s">
        <v>44</v>
      </c>
      <c r="E30" s="114" t="s">
        <v>86</v>
      </c>
      <c r="F30" s="114" t="s">
        <v>25</v>
      </c>
      <c r="G30" s="114" t="s">
        <v>42</v>
      </c>
      <c r="H30" s="114" t="s">
        <v>70</v>
      </c>
      <c r="I30" s="114" t="s">
        <v>25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3">
      <c r="B31" s="113" t="s">
        <v>43</v>
      </c>
      <c r="C31" s="114" t="s">
        <v>33</v>
      </c>
      <c r="D31" s="114" t="s">
        <v>44</v>
      </c>
      <c r="E31" s="114" t="s">
        <v>86</v>
      </c>
      <c r="F31" s="114" t="s">
        <v>25</v>
      </c>
      <c r="G31" s="114" t="s">
        <v>34</v>
      </c>
      <c r="H31" s="114" t="s">
        <v>70</v>
      </c>
      <c r="I31" s="114" t="s">
        <v>25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v>0</v>
      </c>
      <c r="P31" s="114">
        <v>0</v>
      </c>
      <c r="Q31" s="114">
        <v>0</v>
      </c>
      <c r="R31" s="114">
        <v>0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0</v>
      </c>
      <c r="Y31" s="114">
        <v>0</v>
      </c>
      <c r="Z31" s="114">
        <v>0</v>
      </c>
      <c r="AA31" s="114">
        <v>0</v>
      </c>
      <c r="AB31" s="114">
        <v>0</v>
      </c>
      <c r="AC31" s="114">
        <v>0</v>
      </c>
      <c r="AD31" s="114">
        <v>0</v>
      </c>
      <c r="AE31" s="114">
        <v>0</v>
      </c>
      <c r="AF31" s="114">
        <v>0</v>
      </c>
      <c r="AG31" s="114">
        <v>0</v>
      </c>
      <c r="AH31" s="114">
        <v>0</v>
      </c>
      <c r="AI31" s="114">
        <v>0</v>
      </c>
      <c r="AJ31" s="114">
        <v>0</v>
      </c>
      <c r="AK31" s="114">
        <v>0</v>
      </c>
      <c r="AL31" s="114">
        <v>0</v>
      </c>
      <c r="AM31" s="114">
        <v>0</v>
      </c>
      <c r="AN31" s="114">
        <v>0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3">
      <c r="B32" s="113" t="s">
        <v>43</v>
      </c>
      <c r="C32" s="114" t="s">
        <v>33</v>
      </c>
      <c r="D32" s="114" t="s">
        <v>44</v>
      </c>
      <c r="E32" s="114" t="s">
        <v>25</v>
      </c>
      <c r="F32" s="114" t="s">
        <v>25</v>
      </c>
      <c r="G32" s="114" t="s">
        <v>39</v>
      </c>
      <c r="H32" s="114" t="s">
        <v>70</v>
      </c>
      <c r="I32" s="114" t="s">
        <v>25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4">
        <v>0</v>
      </c>
      <c r="P32" s="114">
        <v>0</v>
      </c>
      <c r="Q32" s="114">
        <v>0</v>
      </c>
      <c r="R32" s="114">
        <v>0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0</v>
      </c>
      <c r="Y32" s="114">
        <v>0</v>
      </c>
      <c r="Z32" s="114">
        <v>0</v>
      </c>
      <c r="AA32" s="114">
        <v>0</v>
      </c>
      <c r="AB32" s="114">
        <v>0</v>
      </c>
      <c r="AC32" s="114">
        <v>0</v>
      </c>
      <c r="AD32" s="114">
        <v>0</v>
      </c>
      <c r="AE32" s="114">
        <v>0</v>
      </c>
      <c r="AF32" s="114">
        <v>0</v>
      </c>
      <c r="AG32" s="114">
        <v>0</v>
      </c>
      <c r="AH32" s="114">
        <v>0</v>
      </c>
      <c r="AI32" s="114">
        <v>0</v>
      </c>
      <c r="AJ32" s="114">
        <v>0</v>
      </c>
      <c r="AK32" s="114">
        <v>0</v>
      </c>
      <c r="AL32" s="114">
        <v>0</v>
      </c>
      <c r="AM32" s="114">
        <v>0</v>
      </c>
      <c r="AN32" s="114">
        <v>0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3">
      <c r="B33" s="113" t="s">
        <v>43</v>
      </c>
      <c r="C33" s="114" t="s">
        <v>33</v>
      </c>
      <c r="D33" s="114" t="s">
        <v>44</v>
      </c>
      <c r="E33" s="114" t="s">
        <v>25</v>
      </c>
      <c r="F33" s="114" t="s">
        <v>25</v>
      </c>
      <c r="G33" s="114" t="s">
        <v>42</v>
      </c>
      <c r="H33" s="114" t="s">
        <v>70</v>
      </c>
      <c r="I33" s="114" t="s">
        <v>25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0</v>
      </c>
      <c r="P33" s="114">
        <v>0</v>
      </c>
      <c r="Q33" s="114">
        <v>0</v>
      </c>
      <c r="R33" s="114">
        <v>0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3">
      <c r="B34" s="113" t="s">
        <v>43</v>
      </c>
      <c r="C34" s="114" t="s">
        <v>33</v>
      </c>
      <c r="D34" s="114" t="s">
        <v>44</v>
      </c>
      <c r="E34" s="114" t="s">
        <v>25</v>
      </c>
      <c r="F34" s="114" t="s">
        <v>25</v>
      </c>
      <c r="G34" s="114" t="s">
        <v>34</v>
      </c>
      <c r="H34" s="114" t="s">
        <v>70</v>
      </c>
      <c r="I34" s="114" t="s">
        <v>25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v>0</v>
      </c>
      <c r="P34" s="114">
        <v>0</v>
      </c>
      <c r="Q34" s="114"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0</v>
      </c>
      <c r="Y34" s="114">
        <v>0</v>
      </c>
      <c r="Z34" s="114">
        <v>0</v>
      </c>
      <c r="AA34" s="114">
        <v>0</v>
      </c>
      <c r="AB34" s="114">
        <v>0</v>
      </c>
      <c r="AC34" s="114">
        <v>0</v>
      </c>
      <c r="AD34" s="114">
        <v>0</v>
      </c>
      <c r="AE34" s="114">
        <v>0</v>
      </c>
      <c r="AF34" s="114">
        <v>0</v>
      </c>
      <c r="AG34" s="114">
        <v>0</v>
      </c>
      <c r="AH34" s="114">
        <v>0</v>
      </c>
      <c r="AI34" s="114">
        <v>0</v>
      </c>
      <c r="AJ34" s="114">
        <v>0</v>
      </c>
      <c r="AK34" s="114">
        <v>0</v>
      </c>
      <c r="AL34" s="114">
        <v>0</v>
      </c>
      <c r="AM34" s="114">
        <v>0</v>
      </c>
      <c r="AN34" s="114">
        <v>0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3">
      <c r="B35" s="113" t="s">
        <v>43</v>
      </c>
      <c r="C35" s="114" t="s">
        <v>33</v>
      </c>
      <c r="D35" s="114" t="s">
        <v>44</v>
      </c>
      <c r="E35" s="114" t="s">
        <v>87</v>
      </c>
      <c r="F35" s="114" t="s">
        <v>25</v>
      </c>
      <c r="G35" s="114" t="s">
        <v>39</v>
      </c>
      <c r="H35" s="114" t="s">
        <v>70</v>
      </c>
      <c r="I35" s="114" t="s">
        <v>25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3">
      <c r="B36" s="113" t="s">
        <v>43</v>
      </c>
      <c r="C36" s="114" t="s">
        <v>33</v>
      </c>
      <c r="D36" s="114" t="s">
        <v>44</v>
      </c>
      <c r="E36" s="114" t="s">
        <v>87</v>
      </c>
      <c r="F36" s="114" t="s">
        <v>25</v>
      </c>
      <c r="G36" s="114" t="s">
        <v>42</v>
      </c>
      <c r="H36" s="114" t="s">
        <v>70</v>
      </c>
      <c r="I36" s="114" t="s">
        <v>25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3">
      <c r="B37" s="113" t="s">
        <v>43</v>
      </c>
      <c r="C37" s="114" t="s">
        <v>33</v>
      </c>
      <c r="D37" s="114" t="s">
        <v>44</v>
      </c>
      <c r="E37" s="114" t="s">
        <v>87</v>
      </c>
      <c r="F37" s="114" t="s">
        <v>25</v>
      </c>
      <c r="G37" s="114" t="s">
        <v>34</v>
      </c>
      <c r="H37" s="114" t="s">
        <v>70</v>
      </c>
      <c r="I37" s="114" t="s">
        <v>25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4">
        <v>0</v>
      </c>
      <c r="R37" s="114">
        <v>0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0</v>
      </c>
      <c r="Y37" s="114">
        <v>0</v>
      </c>
      <c r="Z37" s="114">
        <v>0</v>
      </c>
      <c r="AA37" s="114">
        <v>0</v>
      </c>
      <c r="AB37" s="114">
        <v>0</v>
      </c>
      <c r="AC37" s="114">
        <v>0</v>
      </c>
      <c r="AD37" s="114">
        <v>0</v>
      </c>
      <c r="AE37" s="114">
        <v>0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0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3">
      <c r="B38" s="113" t="s">
        <v>43</v>
      </c>
      <c r="C38" s="114" t="s">
        <v>23</v>
      </c>
      <c r="D38" s="114" t="s">
        <v>44</v>
      </c>
      <c r="E38" s="114" t="s">
        <v>86</v>
      </c>
      <c r="F38" s="114" t="s">
        <v>25</v>
      </c>
      <c r="G38" s="114" t="s">
        <v>25</v>
      </c>
      <c r="H38" s="114" t="s">
        <v>70</v>
      </c>
      <c r="I38" s="114" t="s">
        <v>25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4">
        <v>0</v>
      </c>
      <c r="P38" s="114">
        <v>0</v>
      </c>
      <c r="Q38" s="114">
        <v>0</v>
      </c>
      <c r="R38" s="114">
        <v>0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0</v>
      </c>
      <c r="Y38" s="114">
        <v>0</v>
      </c>
      <c r="Z38" s="114">
        <v>0</v>
      </c>
      <c r="AA38" s="114">
        <v>0</v>
      </c>
      <c r="AB38" s="114">
        <v>0</v>
      </c>
      <c r="AC38" s="114">
        <v>0</v>
      </c>
      <c r="AD38" s="114">
        <v>0</v>
      </c>
      <c r="AE38" s="114">
        <v>0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0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3">
      <c r="B39" s="113" t="s">
        <v>43</v>
      </c>
      <c r="C39" s="114" t="s">
        <v>23</v>
      </c>
      <c r="D39" s="114" t="s">
        <v>44</v>
      </c>
      <c r="E39" s="114" t="s">
        <v>25</v>
      </c>
      <c r="F39" s="114" t="s">
        <v>25</v>
      </c>
      <c r="G39" s="114" t="s">
        <v>25</v>
      </c>
      <c r="H39" s="114" t="s">
        <v>70</v>
      </c>
      <c r="I39" s="114" t="s">
        <v>25</v>
      </c>
      <c r="J39" s="114">
        <v>0</v>
      </c>
      <c r="K39" s="114">
        <v>0</v>
      </c>
      <c r="L39" s="114">
        <v>0</v>
      </c>
      <c r="M39" s="114">
        <v>0</v>
      </c>
      <c r="N39" s="114">
        <v>0</v>
      </c>
      <c r="O39" s="114">
        <v>0</v>
      </c>
      <c r="P39" s="114">
        <v>0</v>
      </c>
      <c r="Q39" s="114">
        <v>0</v>
      </c>
      <c r="R39" s="114">
        <v>0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0</v>
      </c>
      <c r="Y39" s="114">
        <v>0</v>
      </c>
      <c r="Z39" s="114">
        <v>0</v>
      </c>
      <c r="AA39" s="114">
        <v>0</v>
      </c>
      <c r="AB39" s="114">
        <v>0</v>
      </c>
      <c r="AC39" s="114">
        <v>0</v>
      </c>
      <c r="AD39" s="114">
        <v>0</v>
      </c>
      <c r="AE39" s="114">
        <v>0</v>
      </c>
      <c r="AF39" s="114">
        <v>0</v>
      </c>
      <c r="AG39" s="114">
        <v>0</v>
      </c>
      <c r="AH39" s="114">
        <v>0</v>
      </c>
      <c r="AI39" s="114">
        <v>0</v>
      </c>
      <c r="AJ39" s="114">
        <v>0</v>
      </c>
      <c r="AK39" s="114">
        <v>0</v>
      </c>
      <c r="AL39" s="114">
        <v>0</v>
      </c>
      <c r="AM39" s="114">
        <v>0</v>
      </c>
      <c r="AN39" s="114">
        <v>0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3">
      <c r="B40" s="113" t="s">
        <v>43</v>
      </c>
      <c r="C40" s="114" t="s">
        <v>23</v>
      </c>
      <c r="D40" s="114" t="s">
        <v>44</v>
      </c>
      <c r="E40" s="114" t="s">
        <v>87</v>
      </c>
      <c r="F40" s="114" t="s">
        <v>25</v>
      </c>
      <c r="G40" s="114" t="s">
        <v>25</v>
      </c>
      <c r="H40" s="114" t="s">
        <v>70</v>
      </c>
      <c r="I40" s="114" t="s">
        <v>25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4">
        <v>0</v>
      </c>
      <c r="P40" s="114">
        <v>0</v>
      </c>
      <c r="Q40" s="114">
        <v>0</v>
      </c>
      <c r="R40" s="114">
        <v>0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0</v>
      </c>
      <c r="Y40" s="114">
        <v>0</v>
      </c>
      <c r="Z40" s="114">
        <v>0</v>
      </c>
      <c r="AA40" s="114">
        <v>0</v>
      </c>
      <c r="AB40" s="114">
        <v>0</v>
      </c>
      <c r="AC40" s="114">
        <v>0</v>
      </c>
      <c r="AD40" s="114">
        <v>0</v>
      </c>
      <c r="AE40" s="114">
        <v>0</v>
      </c>
      <c r="AF40" s="114">
        <v>0</v>
      </c>
      <c r="AG40" s="114">
        <v>0</v>
      </c>
      <c r="AH40" s="114">
        <v>0</v>
      </c>
      <c r="AI40" s="114">
        <v>0</v>
      </c>
      <c r="AJ40" s="114">
        <v>0</v>
      </c>
      <c r="AK40" s="114">
        <v>0</v>
      </c>
      <c r="AL40" s="114">
        <v>0</v>
      </c>
      <c r="AM40" s="114">
        <v>0</v>
      </c>
      <c r="AN40" s="114">
        <v>0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3">
      <c r="B41" s="113" t="s">
        <v>43</v>
      </c>
      <c r="C41" s="114" t="s">
        <v>85</v>
      </c>
      <c r="D41" s="114" t="s">
        <v>44</v>
      </c>
      <c r="E41" s="114" t="s">
        <v>86</v>
      </c>
      <c r="F41" s="114" t="s">
        <v>25</v>
      </c>
      <c r="G41" s="114" t="s">
        <v>25</v>
      </c>
      <c r="H41" s="114" t="s">
        <v>70</v>
      </c>
      <c r="I41" s="114" t="s">
        <v>25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4">
        <v>0</v>
      </c>
      <c r="P41" s="114">
        <v>0</v>
      </c>
      <c r="Q41" s="114">
        <v>0</v>
      </c>
      <c r="R41" s="114">
        <v>0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0</v>
      </c>
      <c r="Y41" s="114">
        <v>0</v>
      </c>
      <c r="Z41" s="114">
        <v>0</v>
      </c>
      <c r="AA41" s="114">
        <v>0</v>
      </c>
      <c r="AB41" s="114">
        <v>0</v>
      </c>
      <c r="AC41" s="114">
        <v>0</v>
      </c>
      <c r="AD41" s="114">
        <v>0</v>
      </c>
      <c r="AE41" s="114">
        <v>0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0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3">
      <c r="B42" s="113" t="s">
        <v>43</v>
      </c>
      <c r="C42" s="114" t="s">
        <v>85</v>
      </c>
      <c r="D42" s="114" t="s">
        <v>44</v>
      </c>
      <c r="E42" s="114" t="s">
        <v>25</v>
      </c>
      <c r="F42" s="114" t="s">
        <v>25</v>
      </c>
      <c r="G42" s="114" t="s">
        <v>25</v>
      </c>
      <c r="H42" s="114" t="s">
        <v>70</v>
      </c>
      <c r="I42" s="114" t="s">
        <v>25</v>
      </c>
      <c r="J42" s="114">
        <v>0</v>
      </c>
      <c r="K42" s="114">
        <v>0</v>
      </c>
      <c r="L42" s="114">
        <v>0</v>
      </c>
      <c r="M42" s="114">
        <v>0</v>
      </c>
      <c r="N42" s="114">
        <v>0</v>
      </c>
      <c r="O42" s="114">
        <v>0</v>
      </c>
      <c r="P42" s="114">
        <v>0</v>
      </c>
      <c r="Q42" s="114">
        <v>0</v>
      </c>
      <c r="R42" s="114">
        <v>0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0</v>
      </c>
      <c r="Y42" s="114">
        <v>0</v>
      </c>
      <c r="Z42" s="114">
        <v>0</v>
      </c>
      <c r="AA42" s="114">
        <v>0</v>
      </c>
      <c r="AB42" s="114">
        <v>0</v>
      </c>
      <c r="AC42" s="114">
        <v>0</v>
      </c>
      <c r="AD42" s="114">
        <v>0</v>
      </c>
      <c r="AE42" s="114">
        <v>0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0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3">
      <c r="B43" s="113" t="s">
        <v>43</v>
      </c>
      <c r="C43" s="114" t="s">
        <v>85</v>
      </c>
      <c r="D43" s="114" t="s">
        <v>44</v>
      </c>
      <c r="E43" s="114" t="s">
        <v>87</v>
      </c>
      <c r="F43" s="114" t="s">
        <v>25</v>
      </c>
      <c r="G43" s="114" t="s">
        <v>25</v>
      </c>
      <c r="H43" s="114" t="s">
        <v>70</v>
      </c>
      <c r="I43" s="114" t="s">
        <v>25</v>
      </c>
      <c r="J43" s="114">
        <v>0</v>
      </c>
      <c r="K43" s="114">
        <v>0</v>
      </c>
      <c r="L43" s="114">
        <v>0</v>
      </c>
      <c r="M43" s="114">
        <v>0</v>
      </c>
      <c r="N43" s="114">
        <v>0</v>
      </c>
      <c r="O43" s="114">
        <v>0</v>
      </c>
      <c r="P43" s="114">
        <v>0</v>
      </c>
      <c r="Q43" s="114">
        <v>0</v>
      </c>
      <c r="R43" s="114">
        <v>0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0</v>
      </c>
      <c r="Y43" s="114">
        <v>0</v>
      </c>
      <c r="Z43" s="114">
        <v>0</v>
      </c>
      <c r="AA43" s="114">
        <v>0</v>
      </c>
      <c r="AB43" s="114">
        <v>0</v>
      </c>
      <c r="AC43" s="114">
        <v>0</v>
      </c>
      <c r="AD43" s="114">
        <v>0</v>
      </c>
      <c r="AE43" s="114">
        <v>0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0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3">
      <c r="B44" s="113" t="s">
        <v>35</v>
      </c>
      <c r="C44" s="114" t="s">
        <v>33</v>
      </c>
      <c r="D44" s="114" t="s">
        <v>25</v>
      </c>
      <c r="E44" s="114" t="s">
        <v>25</v>
      </c>
      <c r="F44" s="114" t="s">
        <v>25</v>
      </c>
      <c r="G44" s="114" t="s">
        <v>39</v>
      </c>
      <c r="H44" s="114" t="s">
        <v>70</v>
      </c>
      <c r="I44" s="114" t="s">
        <v>25</v>
      </c>
      <c r="J44" s="114">
        <v>0</v>
      </c>
      <c r="K44" s="114">
        <v>0</v>
      </c>
      <c r="L44" s="114">
        <v>0</v>
      </c>
      <c r="M44" s="114">
        <v>0</v>
      </c>
      <c r="N44" s="114">
        <v>0</v>
      </c>
      <c r="O44" s="114">
        <v>0</v>
      </c>
      <c r="P44" s="114">
        <v>0</v>
      </c>
      <c r="Q44" s="114">
        <v>0</v>
      </c>
      <c r="R44" s="114">
        <v>0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0</v>
      </c>
      <c r="Y44" s="114">
        <v>0</v>
      </c>
      <c r="Z44" s="114">
        <v>0</v>
      </c>
      <c r="AA44" s="114">
        <v>0</v>
      </c>
      <c r="AB44" s="114">
        <v>0</v>
      </c>
      <c r="AC44" s="114">
        <v>0</v>
      </c>
      <c r="AD44" s="114">
        <v>0</v>
      </c>
      <c r="AE44" s="114">
        <v>0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0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3">
      <c r="B45" s="113" t="s">
        <v>35</v>
      </c>
      <c r="C45" s="114" t="s">
        <v>33</v>
      </c>
      <c r="D45" s="114" t="s">
        <v>25</v>
      </c>
      <c r="E45" s="114" t="s">
        <v>25</v>
      </c>
      <c r="F45" s="114" t="s">
        <v>25</v>
      </c>
      <c r="G45" s="114" t="s">
        <v>42</v>
      </c>
      <c r="H45" s="114" t="s">
        <v>70</v>
      </c>
      <c r="I45" s="114" t="s">
        <v>25</v>
      </c>
      <c r="J45" s="114">
        <v>0</v>
      </c>
      <c r="K45" s="114">
        <v>0</v>
      </c>
      <c r="L45" s="114">
        <v>0</v>
      </c>
      <c r="M45" s="114">
        <v>0</v>
      </c>
      <c r="N45" s="114">
        <v>0</v>
      </c>
      <c r="O45" s="114">
        <v>0</v>
      </c>
      <c r="P45" s="114">
        <v>0</v>
      </c>
      <c r="Q45" s="114">
        <v>0</v>
      </c>
      <c r="R45" s="114">
        <v>0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0</v>
      </c>
      <c r="Y45" s="114">
        <v>0</v>
      </c>
      <c r="Z45" s="114">
        <v>0</v>
      </c>
      <c r="AA45" s="114">
        <v>0</v>
      </c>
      <c r="AB45" s="114">
        <v>0</v>
      </c>
      <c r="AC45" s="114">
        <v>0</v>
      </c>
      <c r="AD45" s="114">
        <v>0</v>
      </c>
      <c r="AE45" s="114">
        <v>0</v>
      </c>
      <c r="AF45" s="114">
        <v>0</v>
      </c>
      <c r="AG45" s="114">
        <v>0</v>
      </c>
      <c r="AH45" s="114">
        <v>0</v>
      </c>
      <c r="AI45" s="114">
        <v>0</v>
      </c>
      <c r="AJ45" s="114">
        <v>0</v>
      </c>
      <c r="AK45" s="114">
        <v>0</v>
      </c>
      <c r="AL45" s="114">
        <v>0</v>
      </c>
      <c r="AM45" s="114">
        <v>0</v>
      </c>
      <c r="AN45" s="114">
        <v>0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3">
      <c r="B46" s="113" t="s">
        <v>35</v>
      </c>
      <c r="C46" s="114" t="s">
        <v>33</v>
      </c>
      <c r="D46" s="114" t="s">
        <v>25</v>
      </c>
      <c r="E46" s="114" t="s">
        <v>25</v>
      </c>
      <c r="F46" s="114" t="s">
        <v>25</v>
      </c>
      <c r="G46" s="114" t="s">
        <v>34</v>
      </c>
      <c r="H46" s="114" t="s">
        <v>70</v>
      </c>
      <c r="I46" s="114" t="s">
        <v>25</v>
      </c>
      <c r="J46" s="114">
        <v>0</v>
      </c>
      <c r="K46" s="114">
        <v>0</v>
      </c>
      <c r="L46" s="114">
        <v>0</v>
      </c>
      <c r="M46" s="114">
        <v>0</v>
      </c>
      <c r="N46" s="114">
        <v>0</v>
      </c>
      <c r="O46" s="114">
        <v>0</v>
      </c>
      <c r="P46" s="114">
        <v>0</v>
      </c>
      <c r="Q46" s="114">
        <v>0</v>
      </c>
      <c r="R46" s="114">
        <v>0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0</v>
      </c>
      <c r="Y46" s="114">
        <v>0</v>
      </c>
      <c r="Z46" s="114">
        <v>0</v>
      </c>
      <c r="AA46" s="114">
        <v>0</v>
      </c>
      <c r="AB46" s="114">
        <v>0</v>
      </c>
      <c r="AC46" s="114">
        <v>0</v>
      </c>
      <c r="AD46" s="114">
        <v>0</v>
      </c>
      <c r="AE46" s="114">
        <v>0</v>
      </c>
      <c r="AF46" s="114">
        <v>0</v>
      </c>
      <c r="AG46" s="114">
        <v>0</v>
      </c>
      <c r="AH46" s="114">
        <v>0</v>
      </c>
      <c r="AI46" s="114">
        <v>0</v>
      </c>
      <c r="AJ46" s="114">
        <v>0</v>
      </c>
      <c r="AK46" s="114">
        <v>0</v>
      </c>
      <c r="AL46" s="114">
        <v>0</v>
      </c>
      <c r="AM46" s="114">
        <v>0</v>
      </c>
      <c r="AN46" s="114">
        <v>0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3">
      <c r="B47" s="113" t="s">
        <v>35</v>
      </c>
      <c r="C47" s="114" t="s">
        <v>23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70</v>
      </c>
      <c r="I47" s="114" t="s">
        <v>25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4">
        <v>0</v>
      </c>
      <c r="P47" s="114">
        <v>0</v>
      </c>
      <c r="Q47" s="114">
        <v>0</v>
      </c>
      <c r="R47" s="114">
        <v>0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0</v>
      </c>
      <c r="Y47" s="114">
        <v>0</v>
      </c>
      <c r="Z47" s="114">
        <v>0</v>
      </c>
      <c r="AA47" s="114">
        <v>0</v>
      </c>
      <c r="AB47" s="114">
        <v>0</v>
      </c>
      <c r="AC47" s="114">
        <v>0</v>
      </c>
      <c r="AD47" s="114">
        <v>0</v>
      </c>
      <c r="AE47" s="114">
        <v>0</v>
      </c>
      <c r="AF47" s="114">
        <v>0</v>
      </c>
      <c r="AG47" s="114">
        <v>0</v>
      </c>
      <c r="AH47" s="114">
        <v>0</v>
      </c>
      <c r="AI47" s="114">
        <v>0</v>
      </c>
      <c r="AJ47" s="114">
        <v>0</v>
      </c>
      <c r="AK47" s="114">
        <v>0</v>
      </c>
      <c r="AL47" s="114">
        <v>0</v>
      </c>
      <c r="AM47" s="114">
        <v>0</v>
      </c>
      <c r="AN47" s="114">
        <v>0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3">
      <c r="B48" s="113" t="s">
        <v>35</v>
      </c>
      <c r="C48" s="114" t="s">
        <v>85</v>
      </c>
      <c r="D48" s="114" t="s">
        <v>25</v>
      </c>
      <c r="E48" s="114" t="s">
        <v>25</v>
      </c>
      <c r="F48" s="114" t="s">
        <v>25</v>
      </c>
      <c r="G48" s="114" t="s">
        <v>25</v>
      </c>
      <c r="H48" s="114" t="s">
        <v>70</v>
      </c>
      <c r="I48" s="114" t="s">
        <v>25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4">
        <v>0</v>
      </c>
      <c r="P48" s="114">
        <v>0</v>
      </c>
      <c r="Q48" s="114">
        <v>0</v>
      </c>
      <c r="R48" s="114">
        <v>0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0</v>
      </c>
      <c r="Y48" s="114">
        <v>0</v>
      </c>
      <c r="Z48" s="114">
        <v>0</v>
      </c>
      <c r="AA48" s="114">
        <v>0</v>
      </c>
      <c r="AB48" s="114">
        <v>0</v>
      </c>
      <c r="AC48" s="114">
        <v>0</v>
      </c>
      <c r="AD48" s="114">
        <v>0</v>
      </c>
      <c r="AE48" s="114">
        <v>0</v>
      </c>
      <c r="AF48" s="114">
        <v>0</v>
      </c>
      <c r="AG48" s="114">
        <v>0</v>
      </c>
      <c r="AH48" s="114">
        <v>0</v>
      </c>
      <c r="AI48" s="114">
        <v>0</v>
      </c>
      <c r="AJ48" s="114">
        <v>0</v>
      </c>
      <c r="AK48" s="114">
        <v>0</v>
      </c>
      <c r="AL48" s="114">
        <v>0</v>
      </c>
      <c r="AM48" s="114">
        <v>0</v>
      </c>
      <c r="AN48" s="114">
        <v>0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3">
      <c r="B49" s="113" t="s">
        <v>46</v>
      </c>
      <c r="C49" s="114" t="s">
        <v>23</v>
      </c>
      <c r="D49" s="114" t="s">
        <v>47</v>
      </c>
      <c r="E49" s="114" t="s">
        <v>48</v>
      </c>
      <c r="F49" s="114" t="s">
        <v>25</v>
      </c>
      <c r="G49" s="114" t="s">
        <v>25</v>
      </c>
      <c r="H49" s="114" t="s">
        <v>70</v>
      </c>
      <c r="I49" s="114" t="s">
        <v>25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0</v>
      </c>
      <c r="Y49" s="114">
        <v>0</v>
      </c>
      <c r="Z49" s="114">
        <v>0</v>
      </c>
      <c r="AA49" s="114">
        <v>0</v>
      </c>
      <c r="AB49" s="114">
        <v>0</v>
      </c>
      <c r="AC49" s="114">
        <v>0</v>
      </c>
      <c r="AD49" s="114">
        <v>0</v>
      </c>
      <c r="AE49" s="114">
        <v>0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0</v>
      </c>
      <c r="AO49" s="114">
        <v>0</v>
      </c>
      <c r="AP49" s="114">
        <v>0</v>
      </c>
      <c r="AQ49" s="114">
        <v>0</v>
      </c>
      <c r="AR49" s="114">
        <v>0</v>
      </c>
      <c r="AS49" s="114">
        <v>0</v>
      </c>
      <c r="AT49" s="115">
        <v>0</v>
      </c>
    </row>
    <row r="50" spans="2:46" ht="12" customHeight="1" x14ac:dyDescent="0.3">
      <c r="B50" s="116" t="s">
        <v>46</v>
      </c>
      <c r="C50" s="117" t="s">
        <v>23</v>
      </c>
      <c r="D50" s="117" t="s">
        <v>47</v>
      </c>
      <c r="E50" s="117" t="s">
        <v>49</v>
      </c>
      <c r="F50" s="117" t="s">
        <v>25</v>
      </c>
      <c r="G50" s="117" t="s">
        <v>25</v>
      </c>
      <c r="H50" s="117" t="s">
        <v>70</v>
      </c>
      <c r="I50" s="117" t="s">
        <v>25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7">
        <v>0</v>
      </c>
      <c r="P50" s="117">
        <v>0</v>
      </c>
      <c r="Q50" s="117">
        <v>0</v>
      </c>
      <c r="R50" s="117">
        <v>0</v>
      </c>
      <c r="S50" s="117">
        <v>0</v>
      </c>
      <c r="T50" s="117">
        <v>0</v>
      </c>
      <c r="U50" s="117">
        <v>0</v>
      </c>
      <c r="V50" s="117">
        <v>0</v>
      </c>
      <c r="W50" s="117">
        <v>0</v>
      </c>
      <c r="X50" s="117">
        <v>0</v>
      </c>
      <c r="Y50" s="117">
        <v>0</v>
      </c>
      <c r="Z50" s="117">
        <v>0</v>
      </c>
      <c r="AA50" s="117">
        <v>0</v>
      </c>
      <c r="AB50" s="117">
        <v>0</v>
      </c>
      <c r="AC50" s="117">
        <v>0</v>
      </c>
      <c r="AD50" s="117">
        <v>0</v>
      </c>
      <c r="AE50" s="117">
        <v>0</v>
      </c>
      <c r="AF50" s="117">
        <v>0</v>
      </c>
      <c r="AG50" s="117">
        <v>0</v>
      </c>
      <c r="AH50" s="117">
        <v>0</v>
      </c>
      <c r="AI50" s="117">
        <v>0</v>
      </c>
      <c r="AJ50" s="117">
        <v>0</v>
      </c>
      <c r="AK50" s="117">
        <v>0</v>
      </c>
      <c r="AL50" s="117">
        <v>0</v>
      </c>
      <c r="AM50" s="117">
        <v>0</v>
      </c>
      <c r="AN50" s="117">
        <v>0</v>
      </c>
      <c r="AO50" s="117">
        <v>0</v>
      </c>
      <c r="AP50" s="117">
        <v>0</v>
      </c>
      <c r="AQ50" s="117">
        <v>0</v>
      </c>
      <c r="AR50" s="117">
        <v>0</v>
      </c>
      <c r="AS50" s="117">
        <v>0</v>
      </c>
      <c r="AT50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2022-09-12T18:02:59Z</dcterms:created>
  <dcterms:modified xsi:type="dcterms:W3CDTF">2022-09-15T00:16:16Z</dcterms:modified>
</cp:coreProperties>
</file>